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vs-sc04\XD\CarpetasRedirigidas\dgomezl\Downloads\"/>
    </mc:Choice>
  </mc:AlternateContent>
  <bookViews>
    <workbookView xWindow="-120" yWindow="-120" windowWidth="25320" windowHeight="11970" tabRatio="584" activeTab="2"/>
  </bookViews>
  <sheets>
    <sheet name="Ambito SUCESIONES" sheetId="8" r:id="rId1"/>
    <sheet name="MODELO D650" sheetId="5" r:id="rId2"/>
    <sheet name="MODELO 650" sheetId="1" r:id="rId3"/>
    <sheet name="Localiza OFICINA" sheetId="6" r:id="rId4"/>
    <sheet name="Letra G (nichos)" sheetId="7" r:id="rId5"/>
    <sheet name="RED PARENTESCO (&gt;1987)" sheetId="4" state="hidden" r:id="rId6"/>
    <sheet name="CUOTA TEORICA" sheetId="2" state="hidden" r:id="rId7"/>
    <sheet name="CUOTA LIQUIDA" sheetId="3" state="hidden" r:id="rId8"/>
  </sheets>
  <definedNames>
    <definedName name="_xlnm._FilterDatabase" localSheetId="0" hidden="1">'Ambito SUCESIONES'!$B$14:$F$27</definedName>
    <definedName name="_xlnm._FilterDatabase" localSheetId="7" hidden="1">'CUOTA LIQUIDA'!$B$2:$E$7</definedName>
    <definedName name="_xlnm._FilterDatabase" localSheetId="6" hidden="1">'CUOTA TEORICA'!$B$2:$E$7</definedName>
    <definedName name="_xlnm._FilterDatabase" localSheetId="4" hidden="1">'Letra G (nichos)'!$M$3:$P$19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E5" i="2"/>
  <c r="H24" i="8" l="1"/>
  <c r="B12" i="8" s="1"/>
  <c r="H10" i="8"/>
  <c r="H9" i="8"/>
  <c r="H8" i="8"/>
  <c r="H7" i="8"/>
  <c r="H6" i="8"/>
  <c r="H5" i="8"/>
  <c r="H4" i="8"/>
  <c r="H3" i="8"/>
  <c r="B8" i="8" l="1"/>
  <c r="K8" i="7"/>
  <c r="B8" i="7"/>
  <c r="B10" i="7" s="1"/>
  <c r="C12" i="7" s="1"/>
  <c r="K7" i="7"/>
  <c r="D4" i="7" s="1"/>
  <c r="B12" i="7" s="1"/>
  <c r="L8" i="8" l="1"/>
  <c r="K8" i="8"/>
  <c r="D3" i="6"/>
  <c r="F3" i="6" s="1"/>
  <c r="C3" i="6"/>
  <c r="M2" i="6" s="1"/>
  <c r="E3" i="6" l="1"/>
  <c r="M1" i="6"/>
  <c r="D4" i="6" l="1"/>
  <c r="E5" i="6"/>
  <c r="D5" i="6"/>
  <c r="F5" i="6" s="1"/>
  <c r="B11" i="5" l="1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2" i="5"/>
  <c r="A3" i="5"/>
  <c r="G31" i="5"/>
  <c r="A31" i="5" s="1"/>
  <c r="S30" i="5"/>
  <c r="S5" i="5"/>
  <c r="S8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I4" i="5"/>
  <c r="S4" i="5" s="1"/>
  <c r="I5" i="5"/>
  <c r="I6" i="5"/>
  <c r="S6" i="5" s="1"/>
  <c r="I7" i="5"/>
  <c r="S7" i="5" s="1"/>
  <c r="I8" i="5"/>
  <c r="I9" i="5"/>
  <c r="S9" i="5" s="1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" i="5"/>
  <c r="S3" i="5" s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" i="5"/>
  <c r="B5" i="4"/>
  <c r="E5" i="4" s="1"/>
  <c r="R24" i="4"/>
  <c r="R23" i="4"/>
  <c r="R22" i="4"/>
  <c r="R21" i="4"/>
  <c r="R20" i="4"/>
  <c r="T19" i="4"/>
  <c r="R19" i="4"/>
  <c r="B10" i="5" l="1"/>
  <c r="B7" i="5"/>
  <c r="B8" i="5"/>
  <c r="B6" i="5"/>
  <c r="B4" i="5"/>
  <c r="B5" i="5"/>
  <c r="B9" i="5"/>
  <c r="S31" i="5"/>
  <c r="I32" i="5" s="1"/>
  <c r="M9" i="1" s="1"/>
  <c r="I31" i="5"/>
  <c r="C6" i="1" s="1"/>
  <c r="D5" i="4"/>
  <c r="B7" i="3"/>
  <c r="D7" i="3" s="1"/>
  <c r="O9" i="3" s="1"/>
  <c r="B7" i="2"/>
  <c r="B3" i="3"/>
  <c r="D3" i="3" s="1"/>
  <c r="U37" i="1"/>
  <c r="T37" i="1"/>
  <c r="F6" i="1"/>
  <c r="C7" i="3" l="1"/>
  <c r="F28" i="3"/>
  <c r="F27" i="3"/>
  <c r="F26" i="3"/>
  <c r="B25" i="3"/>
  <c r="C24" i="3"/>
  <c r="E23" i="3"/>
  <c r="F22" i="3"/>
  <c r="B21" i="3"/>
  <c r="F20" i="3"/>
  <c r="C19" i="3"/>
  <c r="E18" i="3"/>
  <c r="F17" i="3"/>
  <c r="B16" i="3"/>
  <c r="C15" i="3"/>
  <c r="C14" i="3"/>
  <c r="E13" i="3"/>
  <c r="E28" i="3"/>
  <c r="E26" i="3"/>
  <c r="F25" i="3"/>
  <c r="C23" i="3"/>
  <c r="F21" i="3"/>
  <c r="E20" i="3"/>
  <c r="B19" i="3"/>
  <c r="E17" i="3"/>
  <c r="B15" i="3"/>
  <c r="B14" i="3"/>
  <c r="C28" i="3"/>
  <c r="C27" i="3"/>
  <c r="C26" i="3"/>
  <c r="E25" i="3"/>
  <c r="F24" i="3"/>
  <c r="B23" i="3"/>
  <c r="C22" i="3"/>
  <c r="E21" i="3"/>
  <c r="C20" i="3"/>
  <c r="F19" i="3"/>
  <c r="B18" i="3"/>
  <c r="C17" i="3"/>
  <c r="E16" i="3"/>
  <c r="F15" i="3"/>
  <c r="F14" i="3"/>
  <c r="B13" i="3"/>
  <c r="B28" i="3"/>
  <c r="B27" i="3"/>
  <c r="B26" i="3"/>
  <c r="C25" i="3"/>
  <c r="E24" i="3"/>
  <c r="F23" i="3"/>
  <c r="B22" i="3"/>
  <c r="C21" i="3"/>
  <c r="B20" i="3"/>
  <c r="E19" i="3"/>
  <c r="F18" i="3"/>
  <c r="B17" i="3"/>
  <c r="C16" i="3"/>
  <c r="E15" i="3"/>
  <c r="E14" i="3"/>
  <c r="F13" i="3"/>
  <c r="E27" i="3"/>
  <c r="B24" i="3"/>
  <c r="E22" i="3"/>
  <c r="C18" i="3"/>
  <c r="F16" i="3"/>
  <c r="C13" i="3"/>
  <c r="E7" i="3"/>
  <c r="M23" i="3" s="1"/>
  <c r="D7" i="2"/>
  <c r="O9" i="2" s="1"/>
  <c r="C7" i="2"/>
  <c r="B3" i="2"/>
  <c r="D3" i="2" s="1"/>
  <c r="F28" i="2" l="1"/>
  <c r="F27" i="2"/>
  <c r="F26" i="2"/>
  <c r="B25" i="2"/>
  <c r="C24" i="2"/>
  <c r="E23" i="2"/>
  <c r="F22" i="2"/>
  <c r="B21" i="2"/>
  <c r="F20" i="2"/>
  <c r="C19" i="2"/>
  <c r="E18" i="2"/>
  <c r="F17" i="2"/>
  <c r="B16" i="2"/>
  <c r="C15" i="2"/>
  <c r="C14" i="2"/>
  <c r="E13" i="2"/>
  <c r="E28" i="2"/>
  <c r="C18" i="2"/>
  <c r="B14" i="2"/>
  <c r="C28" i="2"/>
  <c r="C27" i="2"/>
  <c r="C26" i="2"/>
  <c r="E25" i="2"/>
  <c r="F24" i="2"/>
  <c r="B23" i="2"/>
  <c r="C22" i="2"/>
  <c r="E21" i="2"/>
  <c r="C20" i="2"/>
  <c r="F19" i="2"/>
  <c r="B18" i="2"/>
  <c r="C17" i="2"/>
  <c r="E16" i="2"/>
  <c r="F15" i="2"/>
  <c r="F14" i="2"/>
  <c r="B13" i="2"/>
  <c r="B28" i="2"/>
  <c r="B27" i="2"/>
  <c r="B26" i="2"/>
  <c r="C25" i="2"/>
  <c r="E24" i="2"/>
  <c r="F23" i="2"/>
  <c r="B22" i="2"/>
  <c r="C21" i="2"/>
  <c r="B20" i="2"/>
  <c r="E19" i="2"/>
  <c r="F18" i="2"/>
  <c r="B17" i="2"/>
  <c r="C16" i="2"/>
  <c r="E15" i="2"/>
  <c r="E14" i="2"/>
  <c r="F13" i="2"/>
  <c r="E27" i="2"/>
  <c r="E26" i="2"/>
  <c r="F25" i="2"/>
  <c r="B24" i="2"/>
  <c r="C23" i="2"/>
  <c r="E22" i="2"/>
  <c r="F21" i="2"/>
  <c r="E20" i="2"/>
  <c r="B19" i="2"/>
  <c r="E17" i="2"/>
  <c r="F16" i="2"/>
  <c r="B15" i="2"/>
  <c r="C13" i="2"/>
  <c r="E7" i="2"/>
  <c r="M23" i="2" l="1"/>
  <c r="Q18" i="1"/>
  <c r="AF25" i="1" l="1"/>
  <c r="T6" i="1"/>
  <c r="H6" i="1" s="1"/>
  <c r="X30" i="1" s="1"/>
  <c r="X32" i="1" s="1"/>
  <c r="AF24" i="1"/>
  <c r="AF23" i="1"/>
  <c r="AF22" i="1"/>
  <c r="H23" i="1" l="1"/>
  <c r="F23" i="1"/>
  <c r="Q34" i="1"/>
  <c r="Q31" i="1"/>
  <c r="M28" i="1"/>
  <c r="G23" i="1"/>
  <c r="U21" i="1"/>
  <c r="V21" i="1" s="1"/>
  <c r="U20" i="1"/>
  <c r="V20" i="1" s="1"/>
  <c r="U19" i="1"/>
  <c r="V19" i="1" s="1"/>
  <c r="U18" i="1"/>
  <c r="V18" i="1" s="1"/>
  <c r="U17" i="1"/>
  <c r="V17" i="1" s="1"/>
  <c r="U16" i="1"/>
  <c r="V16" i="1" s="1"/>
  <c r="M15" i="1"/>
  <c r="U15" i="1"/>
  <c r="V15" i="1" s="1"/>
  <c r="U14" i="1"/>
  <c r="V14" i="1" s="1"/>
  <c r="U13" i="1"/>
  <c r="V13" i="1" s="1"/>
  <c r="U12" i="1"/>
  <c r="V12" i="1" s="1"/>
  <c r="M5" i="1"/>
  <c r="B3" i="4"/>
  <c r="M8" i="1" l="1"/>
  <c r="M10" i="1" s="1"/>
  <c r="M16" i="1" s="1"/>
  <c r="E2" i="4"/>
  <c r="E3" i="4" s="1"/>
  <c r="B13" i="4" s="1"/>
  <c r="U28" i="1"/>
  <c r="U27" i="1"/>
  <c r="U26" i="1"/>
  <c r="E9" i="1"/>
  <c r="F9" i="1" s="1"/>
  <c r="V42" i="1" l="1"/>
  <c r="W36" i="1"/>
  <c r="U32" i="1"/>
  <c r="B9" i="4"/>
  <c r="U31" i="1"/>
  <c r="T9" i="1"/>
  <c r="U9" i="1" s="1"/>
  <c r="W29" i="1"/>
  <c r="W31" i="1"/>
  <c r="W33" i="1"/>
  <c r="H9" i="1"/>
  <c r="W26" i="1"/>
  <c r="V44" i="1" l="1"/>
  <c r="U33" i="1"/>
  <c r="V45" i="1"/>
  <c r="T42" i="1"/>
  <c r="W12" i="1"/>
  <c r="W15" i="1"/>
  <c r="W19" i="1"/>
  <c r="W16" i="1"/>
  <c r="W20" i="1"/>
  <c r="W13" i="1"/>
  <c r="W17" i="1"/>
  <c r="W21" i="1"/>
  <c r="W14" i="1"/>
  <c r="W18" i="1"/>
  <c r="U34" i="1"/>
  <c r="M18" i="1" l="1"/>
  <c r="W23" i="1"/>
  <c r="M20" i="1" l="1"/>
  <c r="M30" i="1" l="1"/>
  <c r="M32" i="1" l="1"/>
  <c r="M35" i="1" l="1"/>
  <c r="B5" i="3" s="1"/>
  <c r="T40" i="1" l="1"/>
  <c r="M15" i="3"/>
  <c r="M16" i="3" s="1"/>
  <c r="M17" i="3" s="1"/>
  <c r="M18" i="3" s="1"/>
  <c r="O10" i="3"/>
  <c r="O11" i="3" s="1"/>
  <c r="F10" i="3" s="1"/>
  <c r="L20" i="3" s="1"/>
  <c r="O13" i="3"/>
  <c r="Q6" i="1"/>
  <c r="B5" i="2" s="1"/>
  <c r="B10" i="3" l="1"/>
  <c r="M3" i="3" s="1"/>
  <c r="J20" i="3" s="1"/>
  <c r="E10" i="3"/>
  <c r="C10" i="3"/>
  <c r="Q14" i="1" s="1"/>
  <c r="O13" i="2"/>
  <c r="O10" i="2"/>
  <c r="O11" i="2" s="1"/>
  <c r="F10" i="2" s="1"/>
  <c r="L20" i="2" s="1"/>
  <c r="M15" i="2"/>
  <c r="M16" i="2" s="1"/>
  <c r="M17" i="2" s="1"/>
  <c r="M18" i="2" s="1"/>
  <c r="M4" i="3" l="1"/>
  <c r="Q15" i="1" s="1"/>
  <c r="J19" i="3"/>
  <c r="M19" i="3"/>
  <c r="E10" i="2"/>
  <c r="C10" i="2"/>
  <c r="Q8" i="1" s="1"/>
  <c r="B10" i="2"/>
  <c r="M3" i="2" s="1"/>
  <c r="J20" i="2" s="1"/>
  <c r="M5" i="3" l="1"/>
  <c r="M21" i="3" s="1"/>
  <c r="M20" i="3"/>
  <c r="M4" i="2"/>
  <c r="M20" i="2" s="1"/>
  <c r="J19" i="2"/>
  <c r="M19" i="2"/>
  <c r="Q9" i="1" l="1"/>
  <c r="Q10" i="1" s="1"/>
  <c r="Q11" i="1" s="1"/>
  <c r="Q17" i="1" s="1"/>
  <c r="M22" i="3"/>
  <c r="M6" i="3"/>
  <c r="I7" i="3" s="1"/>
  <c r="M25" i="3" s="1"/>
  <c r="M5" i="2"/>
  <c r="M21" i="2" s="1"/>
  <c r="M24" i="3" l="1"/>
  <c r="M22" i="2"/>
  <c r="M6" i="2"/>
  <c r="I7" i="2" s="1"/>
  <c r="M25" i="2" s="1"/>
  <c r="Q19" i="1"/>
  <c r="M24" i="2" l="1"/>
  <c r="Q21" i="1"/>
  <c r="Q30" i="1" s="1"/>
  <c r="Q32" i="1" l="1"/>
  <c r="Q35" i="1" s="1"/>
</calcChain>
</file>

<file path=xl/sharedStrings.xml><?xml version="1.0" encoding="utf-8"?>
<sst xmlns="http://schemas.openxmlformats.org/spreadsheetml/2006/main" count="2616" uniqueCount="1009">
  <si>
    <t>Fecha de devengo</t>
  </si>
  <si>
    <t>Patrimonio preexistente</t>
  </si>
  <si>
    <t>Tabla coef por parentesco y tramo</t>
  </si>
  <si>
    <t>0 .. 402.678,11 €</t>
  </si>
  <si>
    <t>Preex.</t>
  </si>
  <si>
    <t>GRUPO I / II</t>
  </si>
  <si>
    <t>GRUPO III</t>
  </si>
  <si>
    <t>GRUPO IV</t>
  </si>
  <si>
    <t>Columna</t>
  </si>
  <si>
    <t>CONCEPTO</t>
  </si>
  <si>
    <t>IMPORTE</t>
  </si>
  <si>
    <t>2</t>
  </si>
  <si>
    <t>Valor de los bienes y derechos</t>
  </si>
  <si>
    <t>Valor de bienes y derechos</t>
  </si>
  <si>
    <t>Acumulaciones</t>
  </si>
  <si>
    <t>de 402.678,11 € a 2.007.380,43 €</t>
  </si>
  <si>
    <t>3</t>
  </si>
  <si>
    <r>
      <t xml:space="preserve">Adición de bienes  </t>
    </r>
    <r>
      <rPr>
        <i/>
        <sz val="11"/>
        <color theme="0" tint="-0.34998626667073579"/>
        <rFont val="Calibri"/>
        <family val="2"/>
        <scheme val="minor"/>
      </rPr>
      <t>(Recuadro 02 del D650, epíg.[H])</t>
    </r>
  </si>
  <si>
    <t>BASE LIQUIDABLE TEÓRICA</t>
  </si>
  <si>
    <t>de 2.007.380,43 € a 4.020.770,98 €</t>
  </si>
  <si>
    <t>4</t>
  </si>
  <si>
    <r>
      <t xml:space="preserve">Exenciones </t>
    </r>
    <r>
      <rPr>
        <i/>
        <sz val="11"/>
        <color theme="0" tint="-0.34998626667073579"/>
        <rFont val="Calibri"/>
        <family val="2"/>
        <scheme val="minor"/>
      </rPr>
      <t>(Recuadro 03 del D650, epígrafe [I])</t>
    </r>
  </si>
  <si>
    <t>TARIFA</t>
  </si>
  <si>
    <t>&gt; 4.020.770,98 €</t>
  </si>
  <si>
    <t>Fecha de nacimiento (usuf. más joven)</t>
  </si>
  <si>
    <t>Edad</t>
  </si>
  <si>
    <t>Valor usuf.</t>
  </si>
  <si>
    <t>Resto</t>
  </si>
  <si>
    <t>TOTAL (01 + 02 - 03)</t>
  </si>
  <si>
    <t>Hasta …...…...……</t>
  </si>
  <si>
    <t>A</t>
  </si>
  <si>
    <t>Ajuar doméstico</t>
  </si>
  <si>
    <t>Resto …...…...…... al ….....%</t>
  </si>
  <si>
    <t>B</t>
  </si>
  <si>
    <t>MASA HEREDITARIA (04 + 05)</t>
  </si>
  <si>
    <t>Total cuota teórica</t>
  </si>
  <si>
    <t>Lista parentesco</t>
  </si>
  <si>
    <t>Grupo</t>
  </si>
  <si>
    <t>Sujetos pasivos</t>
  </si>
  <si>
    <t>Parentesco</t>
  </si>
  <si>
    <t>Coef</t>
  </si>
  <si>
    <t>% Final</t>
  </si>
  <si>
    <t>Tipo medio efectivo de gravamen (14 / 13 x 100)</t>
  </si>
  <si>
    <t>Hijo/a &lt; 21 años</t>
  </si>
  <si>
    <t>GRUPO I</t>
  </si>
  <si>
    <t>Cónyuge</t>
  </si>
  <si>
    <t>Cargas deducibles</t>
  </si>
  <si>
    <t>Hijo/a de 21 años o más</t>
  </si>
  <si>
    <t>GRUPO II</t>
  </si>
  <si>
    <t>Deudas deducibles</t>
  </si>
  <si>
    <t>Gastos deducibles</t>
  </si>
  <si>
    <t>Pareja de hecho</t>
  </si>
  <si>
    <t>TOTAL (07 + 08 + 09)</t>
  </si>
  <si>
    <t>Hijo/a</t>
  </si>
  <si>
    <t>MASA HERIDITARIA NETA (06 - 10)</t>
  </si>
  <si>
    <t>Nieto/a</t>
  </si>
  <si>
    <t>CUOTA ÍNTEGRA (A + B o 27 x 15)</t>
  </si>
  <si>
    <t>Padre/Madre</t>
  </si>
  <si>
    <t>Porción hereditaria individual</t>
  </si>
  <si>
    <t>Coeficiente</t>
  </si>
  <si>
    <t>Abuelo/a</t>
  </si>
  <si>
    <t>Seguros de vida</t>
  </si>
  <si>
    <t>Cuota tributaria (30 x 31)</t>
  </si>
  <si>
    <t>Ascendientes directos</t>
  </si>
  <si>
    <t>BASE IMPONIBLE (20 + 21)</t>
  </si>
  <si>
    <t>Deducción exceso de cuota</t>
  </si>
  <si>
    <t>Descendientes directos</t>
  </si>
  <si>
    <t>CUOTA TRIBUTARIA AJUSTADA (32 - 33)</t>
  </si>
  <si>
    <t>Hermano/a</t>
  </si>
  <si>
    <t>Red. Empresa individual</t>
  </si>
  <si>
    <t>24a</t>
  </si>
  <si>
    <t>Sobrino/a</t>
  </si>
  <si>
    <t>Red. Participación en entidades</t>
  </si>
  <si>
    <t>24b</t>
  </si>
  <si>
    <t>Deducción doble imposición internacional</t>
  </si>
  <si>
    <t>Tío/a</t>
  </si>
  <si>
    <t>Red. Adq. Bienes Patrimonio H</t>
  </si>
  <si>
    <t>24c</t>
  </si>
  <si>
    <t>Deducción cuotas anteriores</t>
  </si>
  <si>
    <t>36a</t>
  </si>
  <si>
    <t>Yerno/Nuera (y desc. por afinidad)</t>
  </si>
  <si>
    <t>Red. Adq. Viv. Habitual causante</t>
  </si>
  <si>
    <t>24d</t>
  </si>
  <si>
    <t>Deducción tasa valoración</t>
  </si>
  <si>
    <t>36b</t>
  </si>
  <si>
    <t>Suegro/a (y asc. por afinidad)</t>
  </si>
  <si>
    <t>Red. Adq. Explotación agraria</t>
  </si>
  <si>
    <t>24e</t>
  </si>
  <si>
    <t>Recarga</t>
  </si>
  <si>
    <t>37a</t>
  </si>
  <si>
    <t>Cuñado/a</t>
  </si>
  <si>
    <t>Otras reducciones</t>
  </si>
  <si>
    <t>24f</t>
  </si>
  <si>
    <t>Intereses de demora</t>
  </si>
  <si>
    <t>37b</t>
  </si>
  <si>
    <t>Tío/a político/a</t>
  </si>
  <si>
    <t>Total Red. NO aplicables de oficio</t>
  </si>
  <si>
    <t>Sobrino/a político/a</t>
  </si>
  <si>
    <t>Red. Seguros de vida</t>
  </si>
  <si>
    <t>25a</t>
  </si>
  <si>
    <r>
      <t xml:space="preserve">Deducción por parentesco </t>
    </r>
    <r>
      <rPr>
        <i/>
        <sz val="11"/>
        <color theme="0" tint="-0.34998626667073579"/>
        <rFont val="Calibri"/>
        <family val="2"/>
        <scheme val="minor"/>
      </rPr>
      <t>(99% de 11 si GRUPO I)</t>
    </r>
  </si>
  <si>
    <t>Otros</t>
  </si>
  <si>
    <t>Red. Parentesco</t>
  </si>
  <si>
    <t>25b</t>
  </si>
  <si>
    <t>CUOTA LÍQUIDA (34 - 40)</t>
  </si>
  <si>
    <t>Valor usufructo</t>
  </si>
  <si>
    <t>Red. Discapacidad y otras</t>
  </si>
  <si>
    <t>25c</t>
  </si>
  <si>
    <t>Total deducciones (36a + 36b)</t>
  </si>
  <si>
    <t>Total Red. aplicables de oficio</t>
  </si>
  <si>
    <t>CUOTA A INGRESAR (41 - 35 - 36)</t>
  </si>
  <si>
    <t>Red. Transimisión consecutiva</t>
  </si>
  <si>
    <t>Total recargos (37a + 37b)</t>
  </si>
  <si>
    <t>BASE LIQUIDABLE (23 - 24 - 25 - 26)</t>
  </si>
  <si>
    <t>TOTAL A INGRESAR (42 + 37)</t>
  </si>
  <si>
    <t>% PD</t>
  </si>
  <si>
    <t>% U</t>
  </si>
  <si>
    <t>% NP</t>
  </si>
  <si>
    <t>Total PD</t>
  </si>
  <si>
    <t>Total U</t>
  </si>
  <si>
    <t>TOTAL NP</t>
  </si>
  <si>
    <t>Autoliquidación del …</t>
  </si>
  <si>
    <t>INSTRUCCIONES</t>
  </si>
  <si>
    <t>1. Rellena el valor de los bienes que conforman la herencia</t>
  </si>
  <si>
    <t>2. Si existen usufructuarios, indicar la fecha de nacimiento del más joven</t>
  </si>
  <si>
    <t>3. Rellenar la tabla con el reparto de la herencia</t>
  </si>
  <si>
    <t xml:space="preserve">  - Se comprobará que se reparte el PD al 100 % o, alternativamente, 
</t>
  </si>
  <si>
    <t xml:space="preserve">   el U al 100 % y la NP también al 100 %</t>
  </si>
  <si>
    <t>4. Se aplicarán las reducciones por el parentesco indicado que están en vigor a 2021</t>
  </si>
  <si>
    <t>Reparto usufructo</t>
  </si>
  <si>
    <t>1/4</t>
  </si>
  <si>
    <t>1/3</t>
  </si>
  <si>
    <t>100%</t>
  </si>
  <si>
    <t>Indicar %</t>
  </si>
  <si>
    <t>Porción hered</t>
  </si>
  <si>
    <r>
      <t>Sujeto Pasivo</t>
    </r>
    <r>
      <rPr>
        <b/>
        <sz val="12"/>
        <color theme="1"/>
        <rFont val="Calibri"/>
        <family val="2"/>
        <scheme val="minor"/>
      </rPr>
      <t xml:space="preserve"> 1</t>
    </r>
  </si>
  <si>
    <r>
      <t>Sujeto Pasivo</t>
    </r>
    <r>
      <rPr>
        <b/>
        <sz val="12"/>
        <color theme="1"/>
        <rFont val="Calibri"/>
        <family val="2"/>
        <scheme val="minor"/>
      </rPr>
      <t xml:space="preserve"> 2</t>
    </r>
  </si>
  <si>
    <r>
      <t xml:space="preserve">Sujeto Pasivo </t>
    </r>
    <r>
      <rPr>
        <b/>
        <sz val="12"/>
        <color theme="1"/>
        <rFont val="Calibri"/>
        <family val="2"/>
        <scheme val="minor"/>
      </rPr>
      <t>3</t>
    </r>
  </si>
  <si>
    <r>
      <t xml:space="preserve">Sujeto Pasivo </t>
    </r>
    <r>
      <rPr>
        <b/>
        <sz val="12"/>
        <color theme="1"/>
        <rFont val="Calibri"/>
        <family val="2"/>
        <scheme val="minor"/>
      </rPr>
      <t>4</t>
    </r>
  </si>
  <si>
    <r>
      <t xml:space="preserve">Sujeto Pasivo </t>
    </r>
    <r>
      <rPr>
        <b/>
        <sz val="12"/>
        <color theme="1"/>
        <rFont val="Calibri"/>
        <family val="2"/>
        <scheme val="minor"/>
      </rPr>
      <t>5</t>
    </r>
  </si>
  <si>
    <r>
      <t xml:space="preserve">Sujeto Pasivo </t>
    </r>
    <r>
      <rPr>
        <b/>
        <sz val="12"/>
        <color theme="1"/>
        <rFont val="Calibri"/>
        <family val="2"/>
        <scheme val="minor"/>
      </rPr>
      <t>6</t>
    </r>
  </si>
  <si>
    <r>
      <t xml:space="preserve">Sujeto Pasivo </t>
    </r>
    <r>
      <rPr>
        <b/>
        <sz val="12"/>
        <color theme="1"/>
        <rFont val="Calibri"/>
        <family val="2"/>
        <scheme val="minor"/>
      </rPr>
      <t>7</t>
    </r>
  </si>
  <si>
    <r>
      <t xml:space="preserve">Sujeto Pasivo </t>
    </r>
    <r>
      <rPr>
        <b/>
        <sz val="12"/>
        <color theme="1"/>
        <rFont val="Calibri"/>
        <family val="2"/>
        <scheme val="minor"/>
      </rPr>
      <t>8</t>
    </r>
  </si>
  <si>
    <r>
      <t xml:space="preserve">Sujeto Pasivo </t>
    </r>
    <r>
      <rPr>
        <b/>
        <sz val="12"/>
        <color theme="1"/>
        <rFont val="Calibri"/>
        <family val="2"/>
        <scheme val="minor"/>
      </rPr>
      <t>9</t>
    </r>
  </si>
  <si>
    <r>
      <t xml:space="preserve">Sujeto Pasivo </t>
    </r>
    <r>
      <rPr>
        <b/>
        <sz val="12"/>
        <color theme="1"/>
        <rFont val="Calibri"/>
        <family val="2"/>
        <scheme val="minor"/>
      </rPr>
      <t>10</t>
    </r>
  </si>
  <si>
    <t>Fecha Devengo</t>
  </si>
  <si>
    <t>Columna AÑO</t>
  </si>
  <si>
    <t>Explicación</t>
  </si>
  <si>
    <t>Cálculo</t>
  </si>
  <si>
    <t>Restamos al valor del bien 
la base liquidable inicial del tramo correspondiente</t>
  </si>
  <si>
    <t>Operación</t>
  </si>
  <si>
    <t>Escritura</t>
  </si>
  <si>
    <t>Valor del bien</t>
  </si>
  <si>
    <t>¿En escritura pública?</t>
  </si>
  <si>
    <t>Le aplicamos el tipo al resultado obtenido</t>
  </si>
  <si>
    <t>Herencia 
(art. 3.1.a)</t>
  </si>
  <si>
    <t>Sí</t>
  </si>
  <si>
    <t>Donación 
(art. 3.1.b)</t>
  </si>
  <si>
    <t>No</t>
  </si>
  <si>
    <t>Sumamos el resultado 
a la cuota íntegra inicial del tramo correspondiente</t>
  </si>
  <si>
    <t>de 402.678,11 €
a 2.007.380,43 €</t>
  </si>
  <si>
    <t>GRUPO</t>
  </si>
  <si>
    <t>GRUPO-Ext</t>
  </si>
  <si>
    <t>COEFICIENTE</t>
  </si>
  <si>
    <t>Aplicamos ahora el coeficiente de parentesco</t>
  </si>
  <si>
    <t>Seguro 
(art. 3.1.c)</t>
  </si>
  <si>
    <t>de 2.007.380,43 €
a 4.020.770,98 €</t>
  </si>
  <si>
    <t>CUOTA A INGRESAR</t>
  </si>
  <si>
    <t>Base liquidable 
Hasta euros</t>
  </si>
  <si>
    <t>Cuota íntegra
(euros)</t>
  </si>
  <si>
    <t>Resto base liquidable 
Hasta euros</t>
  </si>
  <si>
    <t>Tipo aplicable
Porcentaje</t>
  </si>
  <si>
    <t>Instrucciones</t>
  </si>
  <si>
    <r>
      <rPr>
        <b/>
        <sz val="11"/>
        <rFont val="Calibri"/>
        <family val="2"/>
        <scheme val="minor"/>
      </rPr>
      <t>1.</t>
    </r>
    <r>
      <rPr>
        <sz val="11"/>
        <rFont val="Calibri"/>
        <family val="2"/>
        <scheme val="minor"/>
      </rPr>
      <t xml:space="preserve"> Introduzca el valor del bien
</t>
    </r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Seleccione el parentesco en el desplegable para consultar el GRUPO para la reducción por parentesco (Art. 6.2 DL 1/2011)
</t>
    </r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Elija el tipo de operación (en caso de DONACIONES, indicar si se formaliza en escritura pública o no)</t>
    </r>
  </si>
  <si>
    <t>T1F1</t>
  </si>
  <si>
    <t>T1F2</t>
  </si>
  <si>
    <t>T1F3</t>
  </si>
  <si>
    <t>F1</t>
  </si>
  <si>
    <t>T1F4</t>
  </si>
  <si>
    <t>F2</t>
  </si>
  <si>
    <t>Ayuda para cubrir el Modelo 651 (si no hubiese reducciones/deducciones)</t>
  </si>
  <si>
    <t>T1F5</t>
  </si>
  <si>
    <t>F3</t>
  </si>
  <si>
    <t>Valor real de bens e dereitos</t>
  </si>
  <si>
    <t>T1F6</t>
  </si>
  <si>
    <t>En adelante</t>
  </si>
  <si>
    <t>F4</t>
  </si>
  <si>
    <t>VALOR NETO (01 - 03 - 07 - 08)</t>
  </si>
  <si>
    <t>T1F7</t>
  </si>
  <si>
    <t>F5</t>
  </si>
  <si>
    <t>BASE IMPOÑIBLE (11)</t>
  </si>
  <si>
    <t>T1F8</t>
  </si>
  <si>
    <t>F6</t>
  </si>
  <si>
    <t>BASE LIQUIDABLE (23 - 24)</t>
  </si>
  <si>
    <t>T1F9</t>
  </si>
  <si>
    <t>F7</t>
  </si>
  <si>
    <t>Ata</t>
  </si>
  <si>
    <t>T1F10</t>
  </si>
  <si>
    <t>F8</t>
  </si>
  <si>
    <t>ao</t>
  </si>
  <si>
    <t>T1F11</t>
  </si>
  <si>
    <t>F9</t>
  </si>
  <si>
    <t xml:space="preserve">                                                                                          SUMA (30)         </t>
  </si>
  <si>
    <t>T1F12</t>
  </si>
  <si>
    <t>F10</t>
  </si>
  <si>
    <t>COTA ÍNTEGRA</t>
  </si>
  <si>
    <t>T1F13</t>
  </si>
  <si>
    <t>F11</t>
  </si>
  <si>
    <t>T1F14</t>
  </si>
  <si>
    <t>F12</t>
  </si>
  <si>
    <t>Cota tributaria (30 x 31)</t>
  </si>
  <si>
    <t>T1F15</t>
  </si>
  <si>
    <t>F13</t>
  </si>
  <si>
    <t>TOTAL A INGRESAR (34 - 35 - 36 - 37)</t>
  </si>
  <si>
    <t>T1F16</t>
  </si>
  <si>
    <t>F14</t>
  </si>
  <si>
    <t>T2F1</t>
  </si>
  <si>
    <t>F15</t>
  </si>
  <si>
    <t>T2F2</t>
  </si>
  <si>
    <t>F16</t>
  </si>
  <si>
    <t>T2F3</t>
  </si>
  <si>
    <t>0,09</t>
  </si>
  <si>
    <t>T2F4</t>
  </si>
  <si>
    <t>T2F5</t>
  </si>
  <si>
    <t>T2F6</t>
  </si>
  <si>
    <t>T2F7</t>
  </si>
  <si>
    <t>T2F8</t>
  </si>
  <si>
    <t>T2F9</t>
  </si>
  <si>
    <t>T2F10</t>
  </si>
  <si>
    <t>T2F11</t>
  </si>
  <si>
    <t>T2F12</t>
  </si>
  <si>
    <t>T2F13</t>
  </si>
  <si>
    <t>T2F14</t>
  </si>
  <si>
    <t>T2F15</t>
  </si>
  <si>
    <t>T2F16</t>
  </si>
  <si>
    <t>T3F1</t>
  </si>
  <si>
    <t>T3F2</t>
  </si>
  <si>
    <t>T3F3</t>
  </si>
  <si>
    <t>T3F4</t>
  </si>
  <si>
    <t>T3F5</t>
  </si>
  <si>
    <t>T3F6</t>
  </si>
  <si>
    <t>T3F7</t>
  </si>
  <si>
    <t>T3F8</t>
  </si>
  <si>
    <t>T3F9</t>
  </si>
  <si>
    <t>T3F10</t>
  </si>
  <si>
    <t>T3F11</t>
  </si>
  <si>
    <t>T3F12</t>
  </si>
  <si>
    <t>T3F13</t>
  </si>
  <si>
    <t>T3F14</t>
  </si>
  <si>
    <t>T3F15</t>
  </si>
  <si>
    <t>T3F16</t>
  </si>
  <si>
    <t>Legados</t>
  </si>
  <si>
    <t>Solo PD?</t>
  </si>
  <si>
    <t>PD y U + NP</t>
  </si>
  <si>
    <t>Solo U + NP?</t>
  </si>
  <si>
    <t>1) TIPO REPARTO</t>
  </si>
  <si>
    <t>2) Porción here.</t>
  </si>
  <si>
    <t>--&gt;</t>
  </si>
  <si>
    <t>Aplicar al % del usufructo</t>
  </si>
  <si>
    <t>Usufruto a repartir</t>
  </si>
  <si>
    <t>Usufruto restante</t>
  </si>
  <si>
    <r>
      <t xml:space="preserve">5. </t>
    </r>
    <r>
      <rPr>
        <sz val="12"/>
        <color rgb="FFC00000"/>
        <rFont val="Calibri"/>
        <family val="2"/>
        <scheme val="minor"/>
      </rPr>
      <t>MUY IMPORTANTE</t>
    </r>
    <r>
      <rPr>
        <sz val="12"/>
        <color theme="1"/>
        <rFont val="Calibri"/>
        <family val="2"/>
        <scheme val="minor"/>
      </rPr>
      <t>: seleccionar en el desplegable el "</t>
    </r>
    <r>
      <rPr>
        <b/>
        <sz val="12"/>
        <color theme="1"/>
        <rFont val="Calibri"/>
        <family val="2"/>
        <scheme val="minor"/>
      </rPr>
      <t>Causante</t>
    </r>
    <r>
      <rPr>
        <sz val="12"/>
        <color theme="1"/>
        <rFont val="Calibri"/>
        <family val="2"/>
        <scheme val="minor"/>
      </rPr>
      <t>" que se desee</t>
    </r>
  </si>
  <si>
    <r>
      <t xml:space="preserve">6. En caso de que la </t>
    </r>
    <r>
      <rPr>
        <b/>
        <sz val="12"/>
        <color theme="4"/>
        <rFont val="Calibri"/>
        <family val="2"/>
        <scheme val="minor"/>
      </rPr>
      <t>autoliquidación no resultase exenta</t>
    </r>
    <r>
      <rPr>
        <sz val="12"/>
        <color theme="1"/>
        <rFont val="Calibri"/>
        <family val="2"/>
        <scheme val="minor"/>
      </rPr>
      <t xml:space="preserve">, se recomienda usar </t>
    </r>
    <r>
      <rPr>
        <b/>
        <sz val="12"/>
        <color theme="4"/>
        <rFont val="Calibri"/>
        <family val="2"/>
        <scheme val="minor"/>
      </rPr>
      <t>ALISe</t>
    </r>
  </si>
  <si>
    <t>3) Tenemos en cuenta LEGADOS</t>
  </si>
  <si>
    <t>Total legados</t>
  </si>
  <si>
    <t>legado Sujeto</t>
  </si>
  <si>
    <t>OK o ERROR REPARTO?</t>
  </si>
  <si>
    <t>teórica</t>
  </si>
  <si>
    <t>Masa her. A repartir (sin legados)</t>
  </si>
  <si>
    <t>4) Resultado liquidación &gt; 0</t>
  </si>
  <si>
    <t>Existe usufructo?</t>
  </si>
  <si>
    <t>Valor SIN usufructo = masa a repartir</t>
  </si>
  <si>
    <t>Base Liquidable teórica = porcion herencia si no hay U</t>
  </si>
  <si>
    <t>PD y U + NP?</t>
  </si>
  <si>
    <r>
      <t xml:space="preserve">1. Indique la fecha de devengo (asegúrese de que es </t>
    </r>
    <r>
      <rPr>
        <b/>
        <sz val="11"/>
        <color rgb="FF0070C0"/>
        <rFont val="Calibri"/>
        <family val="2"/>
        <scheme val="minor"/>
      </rPr>
      <t>igual o posterior al 01/01/1988</t>
    </r>
    <r>
      <rPr>
        <sz val="11"/>
        <color theme="1"/>
        <rFont val="Calibri"/>
        <family val="2"/>
        <scheme val="minor"/>
      </rPr>
      <t>)
2. Seleccione el parentesco en el desplegable para consultar el GRUPO para la reducción por parentesco (Art. 6.2 DL 1/2011)
3. Indique asimismo si el sujeto pasivo tiene alguna discapacidad reconocida</t>
    </r>
  </si>
  <si>
    <t>Fecha inicio</t>
  </si>
  <si>
    <t>1/1/2020</t>
  </si>
  <si>
    <t>1/1/2019</t>
  </si>
  <si>
    <t>1/1/2016</t>
  </si>
  <si>
    <t>21/10/2011</t>
  </si>
  <si>
    <t>1/1/2004</t>
  </si>
  <si>
    <t>1/1/2000</t>
  </si>
  <si>
    <t>1/1/1999</t>
  </si>
  <si>
    <t>1/1/1997</t>
  </si>
  <si>
    <t>1/1/1996</t>
  </si>
  <si>
    <t>1/1/1995</t>
  </si>
  <si>
    <t>1/1/1992</t>
  </si>
  <si>
    <t>1/1/1991</t>
  </si>
  <si>
    <t>1/1/1990</t>
  </si>
  <si>
    <t>1/1/1989</t>
  </si>
  <si>
    <t>1/1/1988</t>
  </si>
  <si>
    <t>1/1/1901</t>
  </si>
  <si>
    <t>Minusvalía</t>
  </si>
  <si>
    <t>Grupo-Ext1</t>
  </si>
  <si>
    <t>Red. 01/01/2020</t>
  </si>
  <si>
    <t>Red. 01/01/2019</t>
  </si>
  <si>
    <t>Red. 01/01/2016</t>
  </si>
  <si>
    <t>Red. 20/10/2011</t>
  </si>
  <si>
    <t>Red. 2004-05-06-07</t>
  </si>
  <si>
    <t>Red. 2000-01-02-03</t>
  </si>
  <si>
    <t>Red. 1999</t>
  </si>
  <si>
    <t>Red. 1997-98</t>
  </si>
  <si>
    <t>Red. 1996</t>
  </si>
  <si>
    <t>Red. 1995</t>
  </si>
  <si>
    <t>Red. 1992-93-94</t>
  </si>
  <si>
    <t>Red. 1991</t>
  </si>
  <si>
    <t>Red. 1990</t>
  </si>
  <si>
    <t>Red. 1989</t>
  </si>
  <si>
    <t>Red 1988</t>
  </si>
  <si>
    <t>Red. 1987 y Anteriores</t>
  </si>
  <si>
    <t>Hermanastro/a</t>
  </si>
  <si>
    <t>GRUPO I-1</t>
  </si>
  <si>
    <t>1.000.000 € + 100.000 € por año-21
límite 1.500.000 €</t>
  </si>
  <si>
    <t>1.000.000 € + 100.000 € por año-21</t>
  </si>
  <si>
    <t>15.956,87 € + 3.990,72 € por año-21
límite 47.858,59 €</t>
  </si>
  <si>
    <t>15.638,33 € + 3.909,58 € por año-21
límite 46.915,00 €</t>
  </si>
  <si>
    <t>15.361,87 € + 3.840,47 € por año-21_x000D_
límite 46.085,61 €</t>
  </si>
  <si>
    <t>14.845,00 € + 3.708,24 € por año-21_x000D_
límite 44.522,98 €</t>
  </si>
  <si>
    <t>14.340,15 € + 3.582,03 € por año-21_x000D_
límite 43.020,45 €</t>
  </si>
  <si>
    <t>13.651,99 € + 3.413,75 € por año-21_x000D_
límite 40.949,96 €</t>
  </si>
  <si>
    <t>12.999,89 € + 3.249,97 € por año-21_x000D_
límite 38.999,68 €</t>
  </si>
  <si>
    <t>12.380,85 € + 3.095,21 € por año-21_x000D_
límite 37.142,55 €</t>
  </si>
  <si>
    <t>12.020,24 € + 3.005,06 € por año-21_x000D_
límite 36.060,73 €</t>
  </si>
  <si>
    <t>Devengo del año 1987 o anterior
Consultar en la pestaña correspondiente</t>
  </si>
  <si>
    <t>?</t>
  </si>
  <si>
    <t>Hijo/a más 21 años y &lt; 25 años</t>
  </si>
  <si>
    <t>GRUPO II-1</t>
  </si>
  <si>
    <t>GRUPO I-2</t>
  </si>
  <si>
    <t>GRUPO II-2</t>
  </si>
  <si>
    <t>900.000,00 € - 100.000 € por año mayor de 21 hasta 24 años</t>
  </si>
  <si>
    <t>REDUCCIÓN POR PARENTESCO</t>
  </si>
  <si>
    <t>GRUPO III-1</t>
  </si>
  <si>
    <t>GRUPO III-2</t>
  </si>
  <si>
    <t>GRUPO IV-1</t>
  </si>
  <si>
    <t>No hay reducción</t>
  </si>
  <si>
    <t>REDUCCIÓN POR MINUSVALIA</t>
  </si>
  <si>
    <t>GRUPO IV-2</t>
  </si>
  <si>
    <t>MINUSVALIA</t>
  </si>
  <si>
    <t xml:space="preserve">a) 33%..65% ------------------------------------------------------------&gt; 150.000 €                      
b) 65% o más y GRUPO I /II y patrimonio preex. &lt; 3.000.000 € --&gt; 100%                   
c) 65% o más y NO se cumplan las otras condiciones de b) -&gt; 300.000 € </t>
  </si>
  <si>
    <t xml:space="preserve">a) 33%..65% -------------------------------------------------------------&gt; 108.200 €          
b) 65% o más -----------------------------------------------------------&gt; 216.400 € </t>
  </si>
  <si>
    <t>a) 33%..65% -------------------------------------------------------------&gt; 47.858,59 €           
b) 65% o más -----------------------------------------------------------&gt; 150.253,03 €</t>
  </si>
  <si>
    <t>46.915,00 €, más la que le corresponda en función del GRUPO</t>
  </si>
  <si>
    <t>46.085,61 €, más la que le corresponda en función del GRUPO</t>
  </si>
  <si>
    <t>44.522,98 €, más la que le corresponda en función del GRUPO</t>
  </si>
  <si>
    <t>43.020,45 €, más la que le corresponda en función del GRUPO</t>
  </si>
  <si>
    <t>40.949,96 €, más la que le corresponda en función del GRUPO</t>
  </si>
  <si>
    <t>38.999,68 €, más la que le corresponda en función del GRUPO</t>
  </si>
  <si>
    <t>37.142,55 €, más la que le corresponda en función del GRUPO</t>
  </si>
  <si>
    <t>36.060,73 €, más la que le corresponda en función del GRUPO</t>
  </si>
  <si>
    <t>Devengo del año 1987 o anterior
Consultar en la pestaña correspondiente
(esta pestaña es sólo para devengos posteriores a 1987)</t>
  </si>
  <si>
    <t>Ptas</t>
  </si>
  <si>
    <t>Euros</t>
  </si>
  <si>
    <t>Pesetas</t>
  </si>
  <si>
    <t>Yerno/Nuera 
y descendientes por afinidad</t>
  </si>
  <si>
    <t>Suegro/a 
y ascendientes por afinidad</t>
  </si>
  <si>
    <t>Hijastro/a</t>
  </si>
  <si>
    <t>Yerno/Nuera</t>
  </si>
  <si>
    <t>Suegro/a</t>
  </si>
  <si>
    <t>Reducción</t>
  </si>
  <si>
    <t>Parentesco (SIN MINUSVALÍA!)</t>
  </si>
  <si>
    <t>Red Parentesco</t>
  </si>
  <si>
    <t>Pestaña</t>
  </si>
  <si>
    <t>A1</t>
  </si>
  <si>
    <t>A2</t>
  </si>
  <si>
    <t>B1</t>
  </si>
  <si>
    <t>Bienes y derechos afectos a actividades empresariales y profesionales (excepto inmuebles)</t>
  </si>
  <si>
    <t>B2</t>
  </si>
  <si>
    <t>B3</t>
  </si>
  <si>
    <t>B4</t>
  </si>
  <si>
    <t>Deudas afectas a actividades empresariales o profesionales</t>
  </si>
  <si>
    <t>C</t>
  </si>
  <si>
    <t>D1</t>
  </si>
  <si>
    <t>Deuda pública, letras de tesoro, obligaciones, bonos y demás valores equivalentes negociados en mercados organizados</t>
  </si>
  <si>
    <t>Certificados de depósitos, pagarés, obligaciones, bonos y demás valores equivalente no negociados en mercados organizados</t>
  </si>
  <si>
    <t>D2</t>
  </si>
  <si>
    <t>E1</t>
  </si>
  <si>
    <t>Acciones y participaciones en el capital o en los fondos propios de sociedades, fondos de inversión o de otras entidades jurídicas negociadas en mercados organizados</t>
  </si>
  <si>
    <t>E2</t>
  </si>
  <si>
    <t>Acciones y participaciones en el capital o en los fondos propios de sociedades, fondos de inversión o de otras entidades jurídicas no negociadas en mercados organizados</t>
  </si>
  <si>
    <t>F</t>
  </si>
  <si>
    <t>G</t>
  </si>
  <si>
    <t>H</t>
  </si>
  <si>
    <t>Bienes adicionables a la masa hereditaria</t>
  </si>
  <si>
    <t>I</t>
  </si>
  <si>
    <t>Exenciones</t>
  </si>
  <si>
    <t>J</t>
  </si>
  <si>
    <t># Pág</t>
  </si>
  <si>
    <t>K</t>
  </si>
  <si>
    <t>Cargas y gravámenes deducibles</t>
  </si>
  <si>
    <t>L</t>
  </si>
  <si>
    <t>M</t>
  </si>
  <si>
    <t>N</t>
  </si>
  <si>
    <t>O1</t>
  </si>
  <si>
    <t>Seguros sujetos</t>
  </si>
  <si>
    <t>O2</t>
  </si>
  <si>
    <t>Seguros exentos</t>
  </si>
  <si>
    <t>P</t>
  </si>
  <si>
    <t>Donaciones y apartaciones acumulables</t>
  </si>
  <si>
    <t>Q</t>
  </si>
  <si>
    <t>Solicitud de reducciones no aplicables de oficio</t>
  </si>
  <si>
    <t>ANEXO</t>
  </si>
  <si>
    <t>RELACIÓN DE SUJETOS PASIVOS EN LA SUCESIÓN</t>
  </si>
  <si>
    <t>Letra</t>
  </si>
  <si>
    <t>Total masa hereditaria (A+B+C+D+E+F+G)</t>
  </si>
  <si>
    <t>Pág</t>
  </si>
  <si>
    <t>Descripción</t>
  </si>
  <si>
    <t>Valor real bien</t>
  </si>
  <si>
    <t>Masa hereditaria</t>
  </si>
  <si>
    <t>% Titul.</t>
  </si>
  <si>
    <t>Ajuar?</t>
  </si>
  <si>
    <t>Total valor bienes y derechos</t>
  </si>
  <si>
    <t>Masa hereditaria neta (01+02-03+05-07-08-09)</t>
  </si>
  <si>
    <t>Ajuar</t>
  </si>
  <si>
    <t>#</t>
  </si>
  <si>
    <r>
      <t xml:space="preserve">Bienes </t>
    </r>
    <r>
      <rPr>
        <sz val="11"/>
        <rFont val="Calibri"/>
        <family val="2"/>
        <scheme val="minor"/>
      </rPr>
      <t>inmuebles</t>
    </r>
    <r>
      <rPr>
        <i/>
        <sz val="11"/>
        <rFont val="Calibri"/>
        <family val="2"/>
        <scheme val="minor"/>
      </rPr>
      <t xml:space="preserve"> de naturaleza </t>
    </r>
    <r>
      <rPr>
        <sz val="11"/>
        <rFont val="Calibri"/>
        <family val="2"/>
        <scheme val="minor"/>
      </rPr>
      <t>rústica</t>
    </r>
  </si>
  <si>
    <r>
      <t xml:space="preserve">Bienes </t>
    </r>
    <r>
      <rPr>
        <sz val="11"/>
        <rFont val="Calibri"/>
        <family val="2"/>
        <scheme val="minor"/>
      </rPr>
      <t>inmuebles</t>
    </r>
    <r>
      <rPr>
        <i/>
        <sz val="11"/>
        <rFont val="Calibri"/>
        <family val="2"/>
        <scheme val="minor"/>
      </rPr>
      <t xml:space="preserve"> de naturaleza </t>
    </r>
    <r>
      <rPr>
        <sz val="11"/>
        <rFont val="Calibri"/>
        <family val="2"/>
        <scheme val="minor"/>
      </rPr>
      <t>urbana</t>
    </r>
  </si>
  <si>
    <r>
      <t xml:space="preserve">Bienes inmuebles de naturaleza </t>
    </r>
    <r>
      <rPr>
        <i/>
        <u/>
        <sz val="11"/>
        <rFont val="Calibri"/>
        <family val="2"/>
        <scheme val="minor"/>
      </rPr>
      <t>rústica</t>
    </r>
    <r>
      <rPr>
        <i/>
        <sz val="11"/>
        <rFont val="Calibri"/>
        <family val="2"/>
        <scheme val="minor"/>
      </rPr>
      <t xml:space="preserve"> afectos a actividades empresariales y profesionales</t>
    </r>
  </si>
  <si>
    <r>
      <t xml:space="preserve">Bienes inmuebles de naturaleza </t>
    </r>
    <r>
      <rPr>
        <i/>
        <u/>
        <sz val="11"/>
        <rFont val="Calibri"/>
        <family val="2"/>
        <scheme val="minor"/>
      </rPr>
      <t>urbana</t>
    </r>
    <r>
      <rPr>
        <i/>
        <sz val="11"/>
        <rFont val="Calibri"/>
        <family val="2"/>
        <scheme val="minor"/>
      </rPr>
      <t xml:space="preserve"> afectos a actividades empresariales y profesionales</t>
    </r>
  </si>
  <si>
    <r>
      <t xml:space="preserve">Depósitos en </t>
    </r>
    <r>
      <rPr>
        <sz val="11"/>
        <rFont val="Calibri"/>
        <family val="2"/>
        <scheme val="minor"/>
      </rPr>
      <t>cuenta corriente</t>
    </r>
    <r>
      <rPr>
        <i/>
        <sz val="11"/>
        <rFont val="Calibri"/>
        <family val="2"/>
        <scheme val="minor"/>
      </rPr>
      <t xml:space="preserve"> o de ahorro, a la vista o a plazo, cuentas financieras y otros tipos de imposiciones en cuenta</t>
    </r>
  </si>
  <si>
    <r>
      <t xml:space="preserve">Joyas, pieles de carácter suntuario, </t>
    </r>
    <r>
      <rPr>
        <sz val="11"/>
        <rFont val="Calibri"/>
        <family val="2"/>
        <scheme val="minor"/>
      </rPr>
      <t>vehículos</t>
    </r>
    <r>
      <rPr>
        <i/>
        <sz val="11"/>
        <rFont val="Calibri"/>
        <family val="2"/>
        <scheme val="minor"/>
      </rPr>
      <t>, embarcaciones, aeronaves, objetos de arte y antigüedades</t>
    </r>
  </si>
  <si>
    <r>
      <t>Demás bienes y derechos de contenido económico (</t>
    </r>
    <r>
      <rPr>
        <sz val="11"/>
        <rFont val="Calibri"/>
        <family val="2"/>
        <scheme val="minor"/>
      </rPr>
      <t>nichos</t>
    </r>
    <r>
      <rPr>
        <i/>
        <sz val="11"/>
        <rFont val="Calibri"/>
        <family val="2"/>
        <scheme val="minor"/>
      </rPr>
      <t>)</t>
    </r>
  </si>
  <si>
    <t>Panteón</t>
  </si>
  <si>
    <t>Existe oficina liquidadora</t>
  </si>
  <si>
    <t>Municipio</t>
  </si>
  <si>
    <t>Provincia</t>
  </si>
  <si>
    <t>Delegación de la Agencia Tributaria de Galicia</t>
  </si>
  <si>
    <t>##</t>
  </si>
  <si>
    <t>Dirección</t>
  </si>
  <si>
    <t>Existe alternativa para presentación</t>
  </si>
  <si>
    <t>MUNICIPIO</t>
  </si>
  <si>
    <t>PROVINCIA</t>
  </si>
  <si>
    <t>DELEGACIÓN ATRIGA</t>
  </si>
  <si>
    <t>OFICINA LIQUIDADORA</t>
  </si>
  <si>
    <t># OF</t>
  </si>
  <si>
    <t>OFICINA DISTRITO HIPOTECARIO</t>
  </si>
  <si>
    <t>OFICINA</t>
  </si>
  <si>
    <t>DIRECCION</t>
  </si>
  <si>
    <t>###</t>
  </si>
  <si>
    <t>A Arnoia</t>
  </si>
  <si>
    <t>Ourense</t>
  </si>
  <si>
    <t>Delegación da Axencia Tributaria de Galicia en Ourense</t>
  </si>
  <si>
    <t>Arzúa</t>
  </si>
  <si>
    <t>A Coruña</t>
  </si>
  <si>
    <t>Oficinas liquidadoras de Distrito Hipotecario (Arzúa)</t>
  </si>
  <si>
    <t>A Fonsagrada</t>
  </si>
  <si>
    <t>Lugo</t>
  </si>
  <si>
    <t>Oficinas de Distrito Hipotecario en Lugo (A Fonsagrada)</t>
  </si>
  <si>
    <t>Delegación da Axencia Tributaria de Galicia en A Coruña</t>
  </si>
  <si>
    <t>Praza de Pontevedra, 22</t>
  </si>
  <si>
    <t>Introduce el nombre del municipio en el campo correspondiente
o selecciónalo de la lista desplegable</t>
  </si>
  <si>
    <t>A Baña</t>
  </si>
  <si>
    <t>Boimorto</t>
  </si>
  <si>
    <t>Fonsagrada, A</t>
  </si>
  <si>
    <t>Delegación da Axencia Tributaria de Galicia en Lugo</t>
  </si>
  <si>
    <t>Ronda da Muralla,70</t>
  </si>
  <si>
    <t>A Bola</t>
  </si>
  <si>
    <t>Melide</t>
  </si>
  <si>
    <t>Becerreá</t>
  </si>
  <si>
    <t>Oficinas de Distrito Hipotecario en Lugo (Becerreá)</t>
  </si>
  <si>
    <t>Rúa Progreso, 38, entreplanta</t>
  </si>
  <si>
    <t>Éstas eran antes oficinas liquidadoras (importante para la consulta de expedientes antiguos):
 - 36 007 -&gt; Ponteareas
 - 36 009 -&gt; Redondela
 - 36 010 -&gt; Tui</t>
  </si>
  <si>
    <t>A Cañiza</t>
  </si>
  <si>
    <t>Pontevedra</t>
  </si>
  <si>
    <t>Delegación da Axencia Tributaria de Galicia en Vigo</t>
  </si>
  <si>
    <t>O Pino</t>
  </si>
  <si>
    <t>Chantada</t>
  </si>
  <si>
    <t>Oficinas de Distrito Hipotecario en Lugo (Chantada)</t>
  </si>
  <si>
    <t>Delegación da Axencia Tributaria de Galicia en Pontevedra</t>
  </si>
  <si>
    <t>Avenida María Victoria Moreno, 43-3ª planta</t>
  </si>
  <si>
    <t>A Capela</t>
  </si>
  <si>
    <t>Pino, O</t>
  </si>
  <si>
    <t>Mondoñedo</t>
  </si>
  <si>
    <t>Oficinas de Distrito Hipotecario en Lugo (Mondoñedo)</t>
  </si>
  <si>
    <t>Rúa Concepción Arenal, 8</t>
  </si>
  <si>
    <t>Santiso</t>
  </si>
  <si>
    <t>Monforte de Lemos</t>
  </si>
  <si>
    <t>Oficinas de Distrito Hipotecario en Lugo (Monforte de Lemos)</t>
  </si>
  <si>
    <t>Oficinas liquidadoras de distrito hipotecario (Arzúa)</t>
  </si>
  <si>
    <t>Rúa Lugo, 2 - 1º Esquerda 15810 Arzúa</t>
  </si>
  <si>
    <t>A Estrada</t>
  </si>
  <si>
    <t>Sobrado</t>
  </si>
  <si>
    <t>Quiroga</t>
  </si>
  <si>
    <t>Oficinas de Distrito Hipotecario en Lugo (Quiroga)</t>
  </si>
  <si>
    <t>Oficinas liquidadoras de distrito hipotecario (Betanzos)</t>
  </si>
  <si>
    <t>R/ Doctor Fariña, 3 Bajo</t>
  </si>
  <si>
    <t>Toques</t>
  </si>
  <si>
    <t>Ribadeo</t>
  </si>
  <si>
    <t>Oficinas de Distrito Hipotecario en Lugo (Ribadeo)</t>
  </si>
  <si>
    <t>Oficinas liquidadoras de distrito hipotecario (Carballo)</t>
  </si>
  <si>
    <t>Rúa Alcalde Jacinto Amigo Lera nº 4, 1</t>
  </si>
  <si>
    <t>A Guarda</t>
  </si>
  <si>
    <t>Touro</t>
  </si>
  <si>
    <t>Sarria</t>
  </si>
  <si>
    <t>Oficinas de Distrito Hipotecario en Lugo (Sarria)</t>
  </si>
  <si>
    <t>Oficinas liquidadoras de distrito hipotecario (Corcubión)</t>
  </si>
  <si>
    <t>Avda AViña, 12-14</t>
  </si>
  <si>
    <t>A Gudiña</t>
  </si>
  <si>
    <t>Vilasantar</t>
  </si>
  <si>
    <t>Vilalba</t>
  </si>
  <si>
    <t>Oficinas de Distrito Hipotecario en Lugo (Vilalba)</t>
  </si>
  <si>
    <t>Oficinas liquidadoras de distrito hipotecario (Ferrol)</t>
  </si>
  <si>
    <t>Avenida MacMahon, 25 baixo</t>
  </si>
  <si>
    <t>A Illa de Arousa</t>
  </si>
  <si>
    <t>Betanzos</t>
  </si>
  <si>
    <t>Oficinas liquidadoras de Distrito Hipotecario (Betanzos)</t>
  </si>
  <si>
    <t>Viveiro</t>
  </si>
  <si>
    <t>Oficinas de Distrito Hipotecario en Lugo (Viveiro)</t>
  </si>
  <si>
    <t>Oficinas liquidadoras de distrito hipotecario (Muros)</t>
  </si>
  <si>
    <t>Avenida Porteliña, 51 - 1º- Esquerda</t>
  </si>
  <si>
    <t>A Lama</t>
  </si>
  <si>
    <t>Abegondo</t>
  </si>
  <si>
    <t>A Pobra de Trives</t>
  </si>
  <si>
    <t>Oficinas de Distrito Hipotecario en Ourense (A Pobra de Trives)</t>
  </si>
  <si>
    <t>Oficinas liquidadoras de distrito hipotecario (Negreira)</t>
  </si>
  <si>
    <t>R/ Teresa Fabeiro Caamaño, 17 baixo</t>
  </si>
  <si>
    <t>A Laracha</t>
  </si>
  <si>
    <t>Aranga</t>
  </si>
  <si>
    <t>Pobra de Trives, A</t>
  </si>
  <si>
    <t>Oficinas liquidadoras de distrito hipotecario (Noia)</t>
  </si>
  <si>
    <t>R/ Virxen de Loreto, 6 portal 4</t>
  </si>
  <si>
    <t>A Merca</t>
  </si>
  <si>
    <t>Bergondo</t>
  </si>
  <si>
    <t>Allariz</t>
  </si>
  <si>
    <t>Oficinas de Distrito Hipotecario en Ourense (Allariz)</t>
  </si>
  <si>
    <t>Oficinas liquidadoras de distrito hipotecario (Ordes)</t>
  </si>
  <si>
    <t>Rúa da Canteira, nº 19 - entreplanta</t>
  </si>
  <si>
    <t>A Mezquita</t>
  </si>
  <si>
    <t>Cesuras</t>
  </si>
  <si>
    <t>Bande</t>
  </si>
  <si>
    <t>Oficinas de Distrito Hipotecario en Ourense (Bande)</t>
  </si>
  <si>
    <t>Oficinas liquidadoras de distrito hipotecario (Ortigueira)</t>
  </si>
  <si>
    <t>Avenida Escola de Gaitas de Ortigueira, 143 baixo</t>
  </si>
  <si>
    <t>A Pastoriza</t>
  </si>
  <si>
    <t>Coirós</t>
  </si>
  <si>
    <t>Celanova</t>
  </si>
  <si>
    <t>Oficinas de Distrito Hipotecario en Ourense (Celanova)</t>
  </si>
  <si>
    <t>Oficinas liquidadoras de distrito hipotecario (Padrón)</t>
  </si>
  <si>
    <t>Avda Compostela, 41 entreplanta</t>
  </si>
  <si>
    <t>A Peroxa</t>
  </si>
  <si>
    <t>Curtis</t>
  </si>
  <si>
    <t>O Barco de Valdeorras</t>
  </si>
  <si>
    <t>Oficinas de Distrito Hipotecario en Ourense (O Barco de Valdeorras)</t>
  </si>
  <si>
    <t>Oficinas liquidadoras de distrito hipotecario (Pontedeume)</t>
  </si>
  <si>
    <t>R/ do Club Firrete, 3 baixo 2</t>
  </si>
  <si>
    <t>Irixoá</t>
  </si>
  <si>
    <t>Barco de Valdeorras, O</t>
  </si>
  <si>
    <t>Oficinas liquidadoras de distrito hipotecario (Santiago)</t>
  </si>
  <si>
    <t>Praza da Constitución s/n Baixo</t>
  </si>
  <si>
    <t>A Pobra do Brollón</t>
  </si>
  <si>
    <t>Oza dos Rios</t>
  </si>
  <si>
    <t>Carballiño, O</t>
  </si>
  <si>
    <t>Oficinas de Distrito Hipotecario en Ourense (O Carballiño)</t>
  </si>
  <si>
    <t>Oficinas de distrito Hipotecario en Lugo (A Fonsagrada)</t>
  </si>
  <si>
    <t>Av. Asturias, 14-ento</t>
  </si>
  <si>
    <t>A Pobra do Caramiñal</t>
  </si>
  <si>
    <t>Paderne</t>
  </si>
  <si>
    <t>O Carballiño</t>
  </si>
  <si>
    <t>Oficinas de distrito Hipotecario en Lugo (Becerreá)</t>
  </si>
  <si>
    <t>Rúa Eulogio Rosón, 2</t>
  </si>
  <si>
    <t>A Pontenova</t>
  </si>
  <si>
    <t>Sada</t>
  </si>
  <si>
    <t>Ribadavia</t>
  </si>
  <si>
    <t>Oficinas de Distrito Hipotecario en Ourense (Ribadavia)</t>
  </si>
  <si>
    <t>Oficinas de distrito Hipotecario en Lugo (Chantada)</t>
  </si>
  <si>
    <t>R/ Ribeira Sacra, 4 baixo</t>
  </si>
  <si>
    <t>A Rúa</t>
  </si>
  <si>
    <t>Carballo</t>
  </si>
  <si>
    <t>Oficinas liquidadoras de Distrito Hipotecario (Carballo)</t>
  </si>
  <si>
    <t>Verín</t>
  </si>
  <si>
    <t>Oficinas de Distrito Hipotecario en Ourense (Verín)</t>
  </si>
  <si>
    <t>Oficinas de distrito Hipotecario en Lugo (Mondoñedo)</t>
  </si>
  <si>
    <t>Av. Buenos Aires Edificio Avenida Portal 3 Baixo 2</t>
  </si>
  <si>
    <t>A Teixeira</t>
  </si>
  <si>
    <t>Cabana de Bergantiños</t>
  </si>
  <si>
    <t>Viana do Bolo</t>
  </si>
  <si>
    <t>Oficinas de Distrito Hipotecario en Ourense (Viana do Bolo)</t>
  </si>
  <si>
    <t>Oficinas de distrito Hipotecario en Lugo (Monforte de Lemos)</t>
  </si>
  <si>
    <t>R/ Reboredo, 29-Entlo</t>
  </si>
  <si>
    <t>A Veiga</t>
  </si>
  <si>
    <t>Coristanco</t>
  </si>
  <si>
    <t>Xinzo de Limia</t>
  </si>
  <si>
    <t>Oficinas de Distrito Hipotecario en Ourense (Xinzo de Limia)</t>
  </si>
  <si>
    <t>Oficinas de distrito Hipotecario en Lugo (Quiroga)</t>
  </si>
  <si>
    <t>Avda. do Caurel, nº 2, baixo D</t>
  </si>
  <si>
    <t>Abadín</t>
  </si>
  <si>
    <t>Laracha, A</t>
  </si>
  <si>
    <t>Estrada, A</t>
  </si>
  <si>
    <t>Oficinas de Distrito Hipotecario en Pontevedra (A Estrada)</t>
  </si>
  <si>
    <t>Oficinas de distrito Hipotecario en Lugo (Ribadeo)</t>
  </si>
  <si>
    <t>Rúa Alza, núm. 5, bajo</t>
  </si>
  <si>
    <t>Oficinas de distrito Hipotecario en Lugo (Sarria)</t>
  </si>
  <si>
    <t>Rúa Nova, 36, 27600 Sarria</t>
  </si>
  <si>
    <t>Agolada</t>
  </si>
  <si>
    <t>Laxe</t>
  </si>
  <si>
    <t>Caldas de Reis</t>
  </si>
  <si>
    <t>Oficinas de Distrito Hipotecario en Pontevedra (Caldas de Reis)</t>
  </si>
  <si>
    <t>Oficinas de distrito Hipotecario en Lugo (Vilalba)</t>
  </si>
  <si>
    <t>Rúa Calvario 52-54 Entresuelo D. 27800 Villalba</t>
  </si>
  <si>
    <t>Alfoz</t>
  </si>
  <si>
    <t>Malpica de Bergantiños</t>
  </si>
  <si>
    <t>Cambados</t>
  </si>
  <si>
    <t>Oficinas de Distrito Hipotecario en Pontevedra (Cambados)</t>
  </si>
  <si>
    <t>Oficinas de distrito Hipotecario en Lugo (Viveiro)</t>
  </si>
  <si>
    <t>Avda de Ferrol Nº 27-29, Entreplanta</t>
  </si>
  <si>
    <t>Ponteceso</t>
  </si>
  <si>
    <t>Lalín</t>
  </si>
  <si>
    <t>Oficinas de Distrito Hipotecario en Pontevedra (Lalín)</t>
  </si>
  <si>
    <t>Ames</t>
  </si>
  <si>
    <t>Corcubión</t>
  </si>
  <si>
    <t>Oficinas liquidadoras de Distrito Hipotecario (Corcubión)</t>
  </si>
  <si>
    <t>Ponteareas</t>
  </si>
  <si>
    <t>Oficinas de Distrito Hipotecario en Pontevedra (Ponteareas)</t>
  </si>
  <si>
    <t>Oficinas de distrito Hipotecario en Ourense (A Pobra de Trives)</t>
  </si>
  <si>
    <t>Praza da Constitución, 10 - 1º</t>
  </si>
  <si>
    <t>Amoeiro</t>
  </si>
  <si>
    <t>Camariñas</t>
  </si>
  <si>
    <t>Pontecaldelas</t>
  </si>
  <si>
    <t>Oficinas de Distrito Hipotecario en Pontevedra (Pontecaldelas)</t>
  </si>
  <si>
    <t>Oficinas de distrito Hipotecario en Ourense (Allariz)</t>
  </si>
  <si>
    <t>R/ Pepe Puga, 12 - 1º esq.</t>
  </si>
  <si>
    <t>Antas de Ulla</t>
  </si>
  <si>
    <t>Cee</t>
  </si>
  <si>
    <t>Redondela</t>
  </si>
  <si>
    <t>Oficinas de Distrito Hipotecario en Pontevedra (Redondela)</t>
  </si>
  <si>
    <t>Oficinas de distrito Hipotecario en Ourense (Bande)</t>
  </si>
  <si>
    <t>R/ Maestro Taibo, 28 - 1º</t>
  </si>
  <si>
    <t>Dumbría</t>
  </si>
  <si>
    <t>Tui</t>
  </si>
  <si>
    <t>Oficinas de Distrito Hipotecario en Pontevedra (Tui)</t>
  </si>
  <si>
    <t>Oficinas de distrito Hipotecario en Ourense (Celanova)</t>
  </si>
  <si>
    <t>R/ Celso E. Ferreiro, 18 - 1º-A</t>
  </si>
  <si>
    <t>Arbo</t>
  </si>
  <si>
    <t>Fisterra</t>
  </si>
  <si>
    <t>Vilagarcía de Arousa</t>
  </si>
  <si>
    <t>Oficinas de Distrito Hipotecario en Pontevedra (Vilagarcía de Arousa)</t>
  </si>
  <si>
    <t>Oficinas de distrito Hipotecario en Ourense (O Barco de Valdeorras)</t>
  </si>
  <si>
    <t>Paseo do Malecón, 30 - baixo</t>
  </si>
  <si>
    <t>Ares</t>
  </si>
  <si>
    <t>Muxía</t>
  </si>
  <si>
    <t>Oficinas de distrito Hipotecario en Ourense (O Carballiño)</t>
  </si>
  <si>
    <t>R/ Cuba, 5 - 1º-A</t>
  </si>
  <si>
    <t>Arnoia, A</t>
  </si>
  <si>
    <t>Vimianzo</t>
  </si>
  <si>
    <t>Oficinas de distrito Hipotecario en Ourense (Ribadavia)</t>
  </si>
  <si>
    <t>Av. do Ribeiro, Nº 13-1ºA</t>
  </si>
  <si>
    <t>Arteixo</t>
  </si>
  <si>
    <t>Zas</t>
  </si>
  <si>
    <t>Oficinas de distrito Hipotecario en Ourense (Verín)</t>
  </si>
  <si>
    <t>R/ Hermanos moreno 16 1º D</t>
  </si>
  <si>
    <t>Ferrol</t>
  </si>
  <si>
    <t>Oficinas liquidadoras de Distrito Hipotecario (Ferrol)</t>
  </si>
  <si>
    <t>Oficinas de distrito Hipotecario en Ourense (Viana do Bolo)</t>
  </si>
  <si>
    <t>R/ Bolado, 1 - 1ºB</t>
  </si>
  <si>
    <t>As Neves</t>
  </si>
  <si>
    <t>As Pontes de García Rodriguez</t>
  </si>
  <si>
    <t>Oficinas de distrito Hipotecario en Ourense (Xinzo de Limia)</t>
  </si>
  <si>
    <t>Rúa Marcelo Macías, nº 4, baixo</t>
  </si>
  <si>
    <t>As Nogais</t>
  </si>
  <si>
    <t>Pontes de García Rodriguez, As</t>
  </si>
  <si>
    <t>Oficinas de distrito Hipotecario en Pontevedra (A Estrada)</t>
  </si>
  <si>
    <t>Avenida Benito Vigo, 14 baixo</t>
  </si>
  <si>
    <t>As Pontes de García Rodríguez</t>
  </si>
  <si>
    <t>Moeche</t>
  </si>
  <si>
    <t>Oficinas de distrito Hipotecario en Pontevedra (Caldas de Reis)</t>
  </si>
  <si>
    <t>Rúa Carlos García Bayón, baixo, s/n, 36650 Caldas de Reis</t>
  </si>
  <si>
    <t>As Somozas</t>
  </si>
  <si>
    <t>Narón</t>
  </si>
  <si>
    <t>Oficinas de distrito Hipotecario en Pontevedra (Cambados)</t>
  </si>
  <si>
    <t>Rúa Pardo Bazán Num. 18 - 1º</t>
  </si>
  <si>
    <t>Avión</t>
  </si>
  <si>
    <t>Neda</t>
  </si>
  <si>
    <t>Oficinas de distrito Hipotecario en Pontevedra (Lalín)</t>
  </si>
  <si>
    <t>Rúa Memorias dun neno labrego nº1, entresollado</t>
  </si>
  <si>
    <t>Baiona</t>
  </si>
  <si>
    <t>San Sadurniño</t>
  </si>
  <si>
    <t>Oficinas de distrito Hipotecario en Pontevedra (Ponteareas)</t>
  </si>
  <si>
    <t>R/ Paseo Matutino 2 Entl.</t>
  </si>
  <si>
    <t>Baleira</t>
  </si>
  <si>
    <t>Oficinas de distrito Hipotecario en Pontevedra (Pontecaldelas)</t>
  </si>
  <si>
    <t>Praza de Fornelos de Montes, s/n</t>
  </si>
  <si>
    <t>Baltar</t>
  </si>
  <si>
    <t>Somozas, As</t>
  </si>
  <si>
    <t>Oficinas de distrito Hipotecario en Pontevedra (Redondela)</t>
  </si>
  <si>
    <t>Rúa Ernestina Otero, Num. 26 - 1º D</t>
  </si>
  <si>
    <t>Valdoviño</t>
  </si>
  <si>
    <t>Oficinas de distrito Hipotecario en Pontevedra (Tui)</t>
  </si>
  <si>
    <t>R/ Foxo, 20</t>
  </si>
  <si>
    <t>Baña, A</t>
  </si>
  <si>
    <t>Muros</t>
  </si>
  <si>
    <t>Oficinas liquidadoras de Distrito Hipotecario (Muros)</t>
  </si>
  <si>
    <t>Oficinas de distrito Hipotecario en Pontevedra (Vilagarcía de Arousa)</t>
  </si>
  <si>
    <t>R/ A. Rey Daviña, 3 - 1ºB-C</t>
  </si>
  <si>
    <t>Baños de Molgas</t>
  </si>
  <si>
    <t>Carnota</t>
  </si>
  <si>
    <t>Baralla</t>
  </si>
  <si>
    <t>Mazaricos</t>
  </si>
  <si>
    <t>Barbadás</t>
  </si>
  <si>
    <t>Outes</t>
  </si>
  <si>
    <t>Negreira</t>
  </si>
  <si>
    <t>Oficinas liquidadoras de Distrito Hipotecario (Negreira)</t>
  </si>
  <si>
    <t>Barreiros</t>
  </si>
  <si>
    <t>Barro</t>
  </si>
  <si>
    <t>Beade</t>
  </si>
  <si>
    <t>Beariz</t>
  </si>
  <si>
    <t>Brión</t>
  </si>
  <si>
    <t>Santa Comba</t>
  </si>
  <si>
    <t>Begonte</t>
  </si>
  <si>
    <t>Noia</t>
  </si>
  <si>
    <t>Oficinas liquidadoras de Distrito Hipotecario (Noia)</t>
  </si>
  <si>
    <t>Boiro</t>
  </si>
  <si>
    <t>Lousame</t>
  </si>
  <si>
    <t>Blancos, Os</t>
  </si>
  <si>
    <t>Boborás</t>
  </si>
  <si>
    <t>Pobra do Caramiñal, A</t>
  </si>
  <si>
    <t>Ribeira</t>
  </si>
  <si>
    <t>Porto do Son</t>
  </si>
  <si>
    <t>Oficinas liquidadoras de Distrito Hipotecario (Ordes)</t>
  </si>
  <si>
    <t>Bola, A</t>
  </si>
  <si>
    <t>Ordes</t>
  </si>
  <si>
    <t>Bolo, O</t>
  </si>
  <si>
    <t>Cerceda</t>
  </si>
  <si>
    <t>Boqueixón</t>
  </si>
  <si>
    <t>Frades</t>
  </si>
  <si>
    <t>Bóveda</t>
  </si>
  <si>
    <t>Mesía</t>
  </si>
  <si>
    <t>Oroso</t>
  </si>
  <si>
    <t>Bueu</t>
  </si>
  <si>
    <t>Tordoia</t>
  </si>
  <si>
    <t>Burela</t>
  </si>
  <si>
    <t>Trazo</t>
  </si>
  <si>
    <t>Val do Dubra</t>
  </si>
  <si>
    <t>Cabanas</t>
  </si>
  <si>
    <t>Ortigueira</t>
  </si>
  <si>
    <t>Oficinas liquidadoras de Distrito Hipotecario (Ortigueira)</t>
  </si>
  <si>
    <t>Cariño</t>
  </si>
  <si>
    <t>Calvos de Randín</t>
  </si>
  <si>
    <t>Cedeira</t>
  </si>
  <si>
    <t>Cerdido</t>
  </si>
  <si>
    <t>Mañón</t>
  </si>
  <si>
    <t>Cambre</t>
  </si>
  <si>
    <t>Padrón</t>
  </si>
  <si>
    <t>Oficinas liquidadoras de Distrito Hipotecario (Padrón)</t>
  </si>
  <si>
    <t>Campo Lameiro</t>
  </si>
  <si>
    <t>Dodro</t>
  </si>
  <si>
    <t>Cangas</t>
  </si>
  <si>
    <t>Rianxo</t>
  </si>
  <si>
    <t>Cañiza, A</t>
  </si>
  <si>
    <t>Rois</t>
  </si>
  <si>
    <t>Capela, A</t>
  </si>
  <si>
    <t>Teo</t>
  </si>
  <si>
    <t>Carballeda de Avia</t>
  </si>
  <si>
    <t>Pontedeume</t>
  </si>
  <si>
    <t>Oficinas liquidadoras de Distrito Hipotecario (Pontedeume)</t>
  </si>
  <si>
    <t>Carballeda de Valdeorras</t>
  </si>
  <si>
    <t>Carballedo</t>
  </si>
  <si>
    <t>Fene</t>
  </si>
  <si>
    <t>Miño</t>
  </si>
  <si>
    <t>Carral</t>
  </si>
  <si>
    <t>Monfero</t>
  </si>
  <si>
    <t>Cartelle</t>
  </si>
  <si>
    <t>Mugardos</t>
  </si>
  <si>
    <t>Castrelo de Miño</t>
  </si>
  <si>
    <t>Vilarmaior</t>
  </si>
  <si>
    <t>Castrelo do Val</t>
  </si>
  <si>
    <t>Santiago de Compostela</t>
  </si>
  <si>
    <t>Oficinas liquidadoras de Distrito Hipotecario (Santiago)</t>
  </si>
  <si>
    <t>Castro Caldelas</t>
  </si>
  <si>
    <t>Vedra</t>
  </si>
  <si>
    <t>Castro de Rei</t>
  </si>
  <si>
    <t>Castroverde</t>
  </si>
  <si>
    <t>Catoira</t>
  </si>
  <si>
    <t>Cenlle</t>
  </si>
  <si>
    <t>Cerdedo</t>
  </si>
  <si>
    <t>Cervantes</t>
  </si>
  <si>
    <t>Cervo</t>
  </si>
  <si>
    <t>Chandrexa de Queixa</t>
  </si>
  <si>
    <t>Coles</t>
  </si>
  <si>
    <t>Corgo, O</t>
  </si>
  <si>
    <t>Cortegada</t>
  </si>
  <si>
    <t>Coruña, A</t>
  </si>
  <si>
    <t>Cospeito</t>
  </si>
  <si>
    <t>Cotobade</t>
  </si>
  <si>
    <t>Covelo</t>
  </si>
  <si>
    <t>Crecente</t>
  </si>
  <si>
    <t>Cualedro</t>
  </si>
  <si>
    <t>Culleredo</t>
  </si>
  <si>
    <t>Cuntis</t>
  </si>
  <si>
    <t>Dozón</t>
  </si>
  <si>
    <t>Entrimo</t>
  </si>
  <si>
    <t>Esgos</t>
  </si>
  <si>
    <t>Folgoso do Courel</t>
  </si>
  <si>
    <t>Forcarei</t>
  </si>
  <si>
    <t>Fornelos de Montes</t>
  </si>
  <si>
    <t>Foz</t>
  </si>
  <si>
    <t>Friol</t>
  </si>
  <si>
    <t>Gomesende</t>
  </si>
  <si>
    <t>Gondomar</t>
  </si>
  <si>
    <t>Grove, O</t>
  </si>
  <si>
    <t>Guarda, A</t>
  </si>
  <si>
    <t>Gudiña, A</t>
  </si>
  <si>
    <t>Guitiriz</t>
  </si>
  <si>
    <t>Guntín</t>
  </si>
  <si>
    <t>Illa de Arousa, A</t>
  </si>
  <si>
    <t>Incio, O</t>
  </si>
  <si>
    <t>Irixo, O</t>
  </si>
  <si>
    <t>Irixoa</t>
  </si>
  <si>
    <t>Lama, A</t>
  </si>
  <si>
    <t>Láncara</t>
  </si>
  <si>
    <t>Larouco</t>
  </si>
  <si>
    <t>Laza</t>
  </si>
  <si>
    <t>Leiro</t>
  </si>
  <si>
    <t>Lobeira</t>
  </si>
  <si>
    <t>Lobios</t>
  </si>
  <si>
    <t>Lourenzá</t>
  </si>
  <si>
    <t>Maceda</t>
  </si>
  <si>
    <t>Manzaneda</t>
  </si>
  <si>
    <t>Marín</t>
  </si>
  <si>
    <t>Maside</t>
  </si>
  <si>
    <t>Meaño</t>
  </si>
  <si>
    <t>Meira</t>
  </si>
  <si>
    <t>Meis</t>
  </si>
  <si>
    <t>Melón</t>
  </si>
  <si>
    <t>Merca, A</t>
  </si>
  <si>
    <t>Mezquita, A</t>
  </si>
  <si>
    <t>Moaña</t>
  </si>
  <si>
    <t>Mondariz</t>
  </si>
  <si>
    <t>Mondariz-Balneario</t>
  </si>
  <si>
    <t>Montederramo</t>
  </si>
  <si>
    <t>Monterrei</t>
  </si>
  <si>
    <t>Monterroso</t>
  </si>
  <si>
    <t>Moraña</t>
  </si>
  <si>
    <t>Mos</t>
  </si>
  <si>
    <t>Muíños</t>
  </si>
  <si>
    <t>Muras</t>
  </si>
  <si>
    <t>Navia de Suarna</t>
  </si>
  <si>
    <t>Negueira de Muñiz</t>
  </si>
  <si>
    <t>Neves, As</t>
  </si>
  <si>
    <t>Nigrán</t>
  </si>
  <si>
    <t>Nogais, As</t>
  </si>
  <si>
    <t>Nogueira de Ramuín</t>
  </si>
  <si>
    <t>O Bolo</t>
  </si>
  <si>
    <t>O Corgo</t>
  </si>
  <si>
    <t>O Grove</t>
  </si>
  <si>
    <t>O Incio</t>
  </si>
  <si>
    <t>O Irixo</t>
  </si>
  <si>
    <t>O Páramo</t>
  </si>
  <si>
    <t>O Pereiro de Aguiar</t>
  </si>
  <si>
    <t>O Porriño</t>
  </si>
  <si>
    <t>O Rosal</t>
  </si>
  <si>
    <t>O Saviñao</t>
  </si>
  <si>
    <t>O Valadouro</t>
  </si>
  <si>
    <t>O Vicedo</t>
  </si>
  <si>
    <t>Oia</t>
  </si>
  <si>
    <t>Oímbra</t>
  </si>
  <si>
    <t>Oleiros</t>
  </si>
  <si>
    <t>Os Blancos</t>
  </si>
  <si>
    <t>Ourol</t>
  </si>
  <si>
    <t>Outeiro de Rei</t>
  </si>
  <si>
    <t>Oza dos Ríos</t>
  </si>
  <si>
    <t>Paderne de Allariz</t>
  </si>
  <si>
    <t>Padrenda</t>
  </si>
  <si>
    <t>Palas de Rei</t>
  </si>
  <si>
    <t>Pantón</t>
  </si>
  <si>
    <t>Parada de Sil</t>
  </si>
  <si>
    <t>Paradela</t>
  </si>
  <si>
    <t>Páramo, O</t>
  </si>
  <si>
    <t>Pastoriza, A</t>
  </si>
  <si>
    <t>Pazos de Borbén</t>
  </si>
  <si>
    <t>Pedrafita do Cebreiro</t>
  </si>
  <si>
    <t>Pereiro de Aguiar, O</t>
  </si>
  <si>
    <t>Peroxa, A</t>
  </si>
  <si>
    <t>Petín</t>
  </si>
  <si>
    <t>Piñor</t>
  </si>
  <si>
    <t>Pobra do Brollón, A</t>
  </si>
  <si>
    <t>Poio</t>
  </si>
  <si>
    <t>Pol</t>
  </si>
  <si>
    <t>Ponte Caldelas</t>
  </si>
  <si>
    <t>Pontecesures</t>
  </si>
  <si>
    <t>Pontedeva</t>
  </si>
  <si>
    <t>Pontenova, A</t>
  </si>
  <si>
    <t>Pontes de García Rodríguez, As</t>
  </si>
  <si>
    <t>Porqueira</t>
  </si>
  <si>
    <t>Porriño, O</t>
  </si>
  <si>
    <t>Portas</t>
  </si>
  <si>
    <t>Portomarín</t>
  </si>
  <si>
    <t>Punxín</t>
  </si>
  <si>
    <t>Quintela de Leirado</t>
  </si>
  <si>
    <t>Rábade</t>
  </si>
  <si>
    <t>Rairiz de Veiga</t>
  </si>
  <si>
    <t>Ramirás</t>
  </si>
  <si>
    <t>Ribadumia</t>
  </si>
  <si>
    <t>Ribas de Sil</t>
  </si>
  <si>
    <t>Ribeira de Piquín</t>
  </si>
  <si>
    <t>Riós</t>
  </si>
  <si>
    <t>Riotorto</t>
  </si>
  <si>
    <t>Rodeiro</t>
  </si>
  <si>
    <t>Rosal, O</t>
  </si>
  <si>
    <t>Rúa, A</t>
  </si>
  <si>
    <t>Rubiá</t>
  </si>
  <si>
    <t>Salceda de Caselas</t>
  </si>
  <si>
    <t>Salvaterra de Miño</t>
  </si>
  <si>
    <t>Samos</t>
  </si>
  <si>
    <t>San Amaro</t>
  </si>
  <si>
    <t>San Cibrao das Viñas</t>
  </si>
  <si>
    <t>San Cristovo de Cea</t>
  </si>
  <si>
    <t>San Xoán de Río</t>
  </si>
  <si>
    <t>Sandiás</t>
  </si>
  <si>
    <t>Sanxenxo</t>
  </si>
  <si>
    <t>Sarreaus</t>
  </si>
  <si>
    <t>Saviñao, O</t>
  </si>
  <si>
    <t>Silleda</t>
  </si>
  <si>
    <t>Sober</t>
  </si>
  <si>
    <t>Soutomaior</t>
  </si>
  <si>
    <t>Taboada</t>
  </si>
  <si>
    <t>Taboadela</t>
  </si>
  <si>
    <t>Teixeira, A</t>
  </si>
  <si>
    <t>Toén</t>
  </si>
  <si>
    <t>Tomiño</t>
  </si>
  <si>
    <t>Trabada</t>
  </si>
  <si>
    <t>Trasmiras</t>
  </si>
  <si>
    <t>Triacastela</t>
  </si>
  <si>
    <t>Valadouro, O</t>
  </si>
  <si>
    <t>Valga</t>
  </si>
  <si>
    <t>Veiga, A</t>
  </si>
  <si>
    <t>Verea</t>
  </si>
  <si>
    <t>Vicedo, O</t>
  </si>
  <si>
    <t>Vigo</t>
  </si>
  <si>
    <t>Vila de Cruces</t>
  </si>
  <si>
    <t>Vilaboa</t>
  </si>
  <si>
    <t>Vilamarín</t>
  </si>
  <si>
    <t>Vilamartín de Valdeorras</t>
  </si>
  <si>
    <t>Vilanova de Arousa</t>
  </si>
  <si>
    <t>Vilar de Barrio</t>
  </si>
  <si>
    <t>Vilar de Santos</t>
  </si>
  <si>
    <t>Vilardevós</t>
  </si>
  <si>
    <t>Vilariño de Conso</t>
  </si>
  <si>
    <t>Xermade</t>
  </si>
  <si>
    <t>Xove</t>
  </si>
  <si>
    <t>Xunqueira de Ambía</t>
  </si>
  <si>
    <t>Xunqueira de Espadanedo</t>
  </si>
  <si>
    <t>VALORACIÓN DE NICHOS</t>
  </si>
  <si>
    <t>Selecciona el tipo</t>
  </si>
  <si>
    <t>Ubicación</t>
  </si>
  <si>
    <t>Valor</t>
  </si>
  <si>
    <t>Nicho</t>
  </si>
  <si>
    <t>Cenicero</t>
  </si>
  <si>
    <t>CÁLCULOS SOBRE CONCESIONES</t>
  </si>
  <si>
    <t>Fecha inicio concesión</t>
  </si>
  <si>
    <t>Dónde</t>
  </si>
  <si>
    <t>Valor concesión [%]</t>
  </si>
  <si>
    <t>Duración de la concesión [años]</t>
  </si>
  <si>
    <t>Valor total del bien</t>
  </si>
  <si>
    <t>Valor de la concesión a fecha de devengo</t>
  </si>
  <si>
    <t>1) Selecciona entre "Panteón", "Nicho" o "Cenicero"</t>
  </si>
  <si>
    <t>2) Indica el municipio de ubicación del bien</t>
  </si>
  <si>
    <t xml:space="preserve"> - Si el municipio no está en la lista desplegable, escoge "RESTO"</t>
  </si>
  <si>
    <t>Santiago</t>
  </si>
  <si>
    <t>3) En en caso de concesiones administrativas sobre el bien:</t>
  </si>
  <si>
    <t>3.1) Introduce la fecha de devengo</t>
  </si>
  <si>
    <t>Vilagarcía</t>
  </si>
  <si>
    <t>3.2) Introduce la fecha de inicio de la concesión</t>
  </si>
  <si>
    <t>RESTO</t>
  </si>
  <si>
    <t>3.3) Introduce la duración de la concesión</t>
  </si>
  <si>
    <t xml:space="preserve"> - Se calculará el valor en función del tiempo en años consumido </t>
  </si>
  <si>
    <t xml:space="preserve">   dividido por la duración total de la concesión</t>
  </si>
  <si>
    <t>RESTO (A Coruña)</t>
  </si>
  <si>
    <t>RESTO (Lugo)</t>
  </si>
  <si>
    <t>RESTO (Ourense)</t>
  </si>
  <si>
    <t>RESTO (Pontevedra)</t>
  </si>
  <si>
    <t>cuentas</t>
  </si>
  <si>
    <t>Residencia habitual
CAUSANTE</t>
  </si>
  <si>
    <t>Ubicación BIENES</t>
  </si>
  <si>
    <t>Residencia habitual
CAUSAHABIENTE</t>
  </si>
  <si>
    <t>Contexto</t>
  </si>
  <si>
    <t>Comptencia</t>
  </si>
  <si>
    <t>Normativa</t>
  </si>
  <si>
    <t>Residente en España</t>
  </si>
  <si>
    <t>Comunidad Autónoma en la que residía el fallecido</t>
  </si>
  <si>
    <r>
      <t>Tributa en España, por el valor de los bienes situados en todo el mundo, y con la normativa de la Comunidad Autónoma en la que residía el fallecido (</t>
    </r>
    <r>
      <rPr>
        <b/>
        <sz val="12"/>
        <color theme="1"/>
        <rFont val="Calibri"/>
        <family val="2"/>
        <scheme val="minor"/>
      </rPr>
      <t>CAUSANTE</t>
    </r>
    <r>
      <rPr>
        <sz val="12"/>
        <color theme="1"/>
        <rFont val="Calibri"/>
        <family val="2"/>
        <scheme val="minor"/>
      </rPr>
      <t>)</t>
    </r>
  </si>
  <si>
    <t>España</t>
  </si>
  <si>
    <t>NO Residente en España</t>
  </si>
  <si>
    <t>AEAT (Oficina Nacional de Gestión Tributaria)</t>
  </si>
  <si>
    <r>
      <t>Tributa en España, pudiendo optar por acogerse a la normativa estatal o a la normativa de la comunidad autónoma Comunidad Autónoma en la que residía el fallecido (</t>
    </r>
    <r>
      <rPr>
        <b/>
        <sz val="12"/>
        <color theme="1"/>
        <rFont val="Calibri"/>
        <family val="2"/>
        <scheme val="minor"/>
      </rPr>
      <t>CAUSANTE</t>
    </r>
    <r>
      <rPr>
        <sz val="12"/>
        <color theme="1"/>
        <rFont val="Calibri"/>
        <family val="2"/>
        <scheme val="minor"/>
      </rPr>
      <t>)</t>
    </r>
  </si>
  <si>
    <t>COMPETENCIA</t>
  </si>
  <si>
    <t>Tributa en España, pudiendo optar por acogerse a la normativa estatal o a la normativa de la Comunidad Autónoma con el mayor valor de los bienes situados en España</t>
  </si>
  <si>
    <t>Fuera de España</t>
  </si>
  <si>
    <r>
      <t>Tributa en España, pudiendo optar por acogerse a la normativa estatal o a la normativa de la Comunidad Autónoma de la que es residente el sujeto pasivo (</t>
    </r>
    <r>
      <rPr>
        <b/>
        <sz val="12"/>
        <color theme="1"/>
        <rFont val="Calibri"/>
        <family val="2"/>
        <scheme val="minor"/>
      </rPr>
      <t>CAUSAHABIENTE</t>
    </r>
    <r>
      <rPr>
        <sz val="12"/>
        <color theme="1"/>
        <rFont val="Calibri"/>
        <family val="2"/>
        <scheme val="minor"/>
      </rPr>
      <t>)</t>
    </r>
  </si>
  <si>
    <t>-</t>
  </si>
  <si>
    <t>No tributa en España</t>
  </si>
  <si>
    <t>NORMATIVA DE APLICACIÓN</t>
  </si>
  <si>
    <t>DOCUMENTACIÓN ALISe</t>
  </si>
  <si>
    <t>1. Selecciona el lugar de residencia habitual del CAUSANTE (el fallecido en SUCESIONES)</t>
  </si>
  <si>
    <t>2. Selecciona el lugar de residencia habitual del CAUSAHABIENTE (el heredero)</t>
  </si>
  <si>
    <t>3. Indica si existen o no bienes ubicados en terriorio español</t>
  </si>
  <si>
    <r>
      <t>REGLAS PARA LA DETERMINACIÓN DE LA RESIDENCIA HABITUAL (</t>
    </r>
    <r>
      <rPr>
        <i/>
        <sz val="14"/>
        <color theme="0"/>
        <rFont val="Calibri"/>
        <family val="2"/>
        <scheme val="minor"/>
      </rPr>
      <t>IRPF</t>
    </r>
    <r>
      <rPr>
        <b/>
        <sz val="14"/>
        <color theme="0"/>
        <rFont val="Calibri"/>
        <family val="2"/>
        <scheme val="minor"/>
      </rPr>
      <t>)</t>
    </r>
  </si>
  <si>
    <r>
      <rPr>
        <b/>
        <sz val="12"/>
        <color theme="1"/>
        <rFont val="Calibri"/>
        <family val="2"/>
        <scheme val="minor"/>
      </rPr>
      <t>1º)</t>
    </r>
    <r>
      <rPr>
        <sz val="12"/>
        <color theme="1"/>
        <rFont val="Calibri"/>
        <family val="2"/>
        <scheme val="minor"/>
      </rPr>
      <t xml:space="preserve"> Si se tuvieron distintos domicilios en </t>
    </r>
    <r>
      <rPr>
        <b/>
        <sz val="12"/>
        <color theme="1"/>
        <rFont val="Calibri"/>
        <family val="2"/>
        <scheme val="minor"/>
      </rPr>
      <t>distintos países</t>
    </r>
    <r>
      <rPr>
        <sz val="12"/>
        <color theme="1"/>
        <rFont val="Calibri"/>
        <family val="2"/>
        <scheme val="minor"/>
      </rPr>
      <t xml:space="preserve"> -&gt; hay que tributar dónde se haya permanecido más días el </t>
    </r>
    <r>
      <rPr>
        <b/>
        <sz val="12"/>
        <color theme="1"/>
        <rFont val="Calibri"/>
        <family val="2"/>
        <scheme val="minor"/>
      </rPr>
      <t>último año</t>
    </r>
    <r>
      <rPr>
        <sz val="12"/>
        <color theme="1"/>
        <rFont val="Calibri"/>
        <family val="2"/>
        <scheme val="minor"/>
      </rPr>
      <t xml:space="preserve"> (≥ 183 días)</t>
    </r>
  </si>
  <si>
    <t>Elección</t>
  </si>
  <si>
    <r>
      <rPr>
        <b/>
        <sz val="12"/>
        <color theme="1"/>
        <rFont val="Calibri"/>
        <family val="2"/>
        <scheme val="minor"/>
      </rPr>
      <t>2º)</t>
    </r>
    <r>
      <rPr>
        <sz val="12"/>
        <color theme="1"/>
        <rFont val="Calibri"/>
        <family val="2"/>
        <scheme val="minor"/>
      </rPr>
      <t xml:space="preserve"> Si hay que tributar en España conforme al punto anterior, pero se tuvieron distintas residencias habituales en </t>
    </r>
    <r>
      <rPr>
        <b/>
        <sz val="12"/>
        <color theme="1"/>
        <rFont val="Calibri"/>
        <family val="2"/>
        <scheme val="minor"/>
      </rPr>
      <t>diferentes comunidades autónomas</t>
    </r>
    <r>
      <rPr>
        <sz val="12"/>
        <color theme="1"/>
        <rFont val="Calibri"/>
        <family val="2"/>
        <scheme val="minor"/>
      </rPr>
      <t xml:space="preserve"> -&gt; dónde se haya permanecido más días los </t>
    </r>
    <r>
      <rPr>
        <b/>
        <sz val="12"/>
        <color theme="1"/>
        <rFont val="Calibri"/>
        <family val="2"/>
        <scheme val="minor"/>
      </rPr>
      <t>últimos 5 años</t>
    </r>
    <r>
      <rPr>
        <sz val="12"/>
        <color theme="1"/>
        <rFont val="Calibri"/>
        <family val="2"/>
        <scheme val="minor"/>
      </rPr>
      <t>.</t>
    </r>
  </si>
  <si>
    <r>
      <rPr>
        <b/>
        <u/>
        <sz val="12"/>
        <color theme="1"/>
        <rFont val="Calibri"/>
        <family val="2"/>
        <scheme val="minor"/>
      </rPr>
      <t>Excepción</t>
    </r>
    <r>
      <rPr>
        <sz val="12"/>
        <color theme="1"/>
        <rFont val="Calibri"/>
        <family val="2"/>
        <scheme val="minor"/>
      </rPr>
      <t xml:space="preserve">: Si mortis causa y residencia habitual en </t>
    </r>
    <r>
      <rPr>
        <u/>
        <sz val="12"/>
        <color theme="1"/>
        <rFont val="Calibri"/>
        <family val="2"/>
        <scheme val="minor"/>
      </rPr>
      <t>País Vasco</t>
    </r>
    <r>
      <rPr>
        <sz val="12"/>
        <color theme="1"/>
        <rFont val="Calibri"/>
        <family val="2"/>
        <scheme val="minor"/>
      </rPr>
      <t xml:space="preserve"> -&gt; hay que tributar dónde se haya permanecido más días el </t>
    </r>
    <r>
      <rPr>
        <u/>
        <sz val="12"/>
        <color theme="1"/>
        <rFont val="Calibri"/>
        <family val="2"/>
        <scheme val="minor"/>
      </rPr>
      <t>último año</t>
    </r>
    <r>
      <rPr>
        <sz val="12"/>
        <color theme="1"/>
        <rFont val="Calibri"/>
        <family val="2"/>
        <scheme val="minor"/>
      </rPr>
      <t xml:space="preserve"> (≥ 183 días)</t>
    </r>
  </si>
  <si>
    <r>
      <rPr>
        <b/>
        <sz val="12"/>
        <color theme="1"/>
        <rFont val="Calibri"/>
        <family val="2"/>
        <scheme val="minor"/>
      </rPr>
      <t>3º)</t>
    </r>
    <r>
      <rPr>
        <sz val="12"/>
        <color theme="1"/>
        <rFont val="Calibri"/>
        <family val="2"/>
        <scheme val="minor"/>
      </rPr>
      <t xml:space="preserve"> Si hay que tributar en España conforme al punto anterior, pero se tuvieron distintas residencias habituales en la </t>
    </r>
    <r>
      <rPr>
        <b/>
        <sz val="12"/>
        <color theme="1"/>
        <rFont val="Calibri"/>
        <family val="2"/>
        <scheme val="minor"/>
      </rPr>
      <t>misma comunidad autónoma</t>
    </r>
    <r>
      <rPr>
        <sz val="12"/>
        <color theme="1"/>
        <rFont val="Calibri"/>
        <family val="2"/>
        <scheme val="minor"/>
      </rPr>
      <t xml:space="preserve"> -&gt; hay que tributar dónde se haya permanecido más días el </t>
    </r>
    <r>
      <rPr>
        <b/>
        <sz val="12"/>
        <color theme="1"/>
        <rFont val="Calibri"/>
        <family val="2"/>
        <scheme val="minor"/>
      </rPr>
      <t>último año</t>
    </r>
    <r>
      <rPr>
        <sz val="12"/>
        <color theme="1"/>
        <rFont val="Calibri"/>
        <family val="2"/>
        <scheme val="minor"/>
      </rPr>
      <t xml:space="preserve"> (≥ 183 días).</t>
    </r>
  </si>
  <si>
    <t>Si HEREDERO NO residente en España y NO bienes en España -&gt; NO paga en España</t>
  </si>
  <si>
    <t>Si FALLECIDO NO residente en España, en caso de pagar -&gt; ONGT</t>
  </si>
  <si>
    <t>porriño, o</t>
  </si>
  <si>
    <t>vi</t>
  </si>
  <si>
    <t>Sujeto Pasivo 1</t>
  </si>
  <si>
    <t>antes M16-T37</t>
  </si>
  <si>
    <t>Causante CON testamento</t>
  </si>
  <si>
    <t>coche</t>
  </si>
  <si>
    <t>casopolon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</si>
</sst>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€&quot;;[Red]\-#,##0\ &quot;€&quot;"/>
    <numFmt numFmtId="8" formatCode="#,##0.00\ &quot;€&quot;;[Red]\-#,##0.00\ &quot;€&quot;"/>
    <numFmt numFmtId="164" formatCode="00"/>
    <numFmt numFmtId="165" formatCode="#,##0.00\ &quot;€&quot;"/>
    <numFmt numFmtId="166" formatCode="0.0000"/>
    <numFmt numFmtId="167" formatCode="#,##0.0000"/>
    <numFmt numFmtId="168" formatCode="#,##0.00\ _€"/>
    <numFmt numFmtId="169" formatCode="000"/>
    <numFmt numFmtId="170" formatCode="#,##0\ &quot;€&quot;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7D6D9"/>
        <bgColor indexed="64"/>
      </patternFill>
    </fill>
    <fill>
      <patternFill patternType="solid">
        <fgColor rgb="FF12767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1918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0.39991454817346722"/>
      </left>
      <right/>
      <top style="medium">
        <color theme="9" tint="0.399914548173467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 style="medium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medium">
        <color theme="9" tint="0.39991454817346722"/>
      </right>
      <top style="medium">
        <color theme="9" tint="0.39991454817346722"/>
      </top>
      <bottom style="thin">
        <color theme="9" tint="0.39991454817346722"/>
      </bottom>
      <diagonal/>
    </border>
    <border>
      <left style="medium">
        <color theme="9" tint="0.39991454817346722"/>
      </left>
      <right/>
      <top/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medium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 style="medium">
        <color theme="9" tint="0.39991454817346722"/>
      </right>
      <top/>
      <bottom/>
      <diagonal/>
    </border>
    <border>
      <left style="medium">
        <color theme="9" tint="0.39991454817346722"/>
      </left>
      <right/>
      <top/>
      <bottom style="medium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medium">
        <color theme="9" tint="0.39991454817346722"/>
      </bottom>
      <diagonal/>
    </border>
    <border>
      <left style="thin">
        <color theme="9" tint="0.39991454817346722"/>
      </left>
      <right style="medium">
        <color theme="9" tint="0.39991454817346722"/>
      </right>
      <top style="thin">
        <color theme="9" tint="0.39991454817346722"/>
      </top>
      <bottom style="medium">
        <color theme="9" tint="0.39991454817346722"/>
      </bottom>
      <diagonal/>
    </border>
    <border>
      <left/>
      <right/>
      <top style="medium">
        <color theme="9" tint="0.39991454817346722"/>
      </top>
      <bottom/>
      <diagonal/>
    </border>
    <border>
      <left/>
      <right style="medium">
        <color theme="9" tint="0.39991454817346722"/>
      </right>
      <top style="medium">
        <color theme="9" tint="0.399914548173467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 style="medium">
        <color theme="9" tint="0.39991454817346722"/>
      </right>
      <top style="thin">
        <color theme="9" tint="0.39991454817346722"/>
      </top>
      <bottom/>
      <diagonal/>
    </border>
    <border>
      <left style="thick">
        <color theme="9" tint="0.39985351115451523"/>
      </left>
      <right/>
      <top style="thick">
        <color theme="9" tint="0.39985351115451523"/>
      </top>
      <bottom style="thick">
        <color theme="9" tint="0.39985351115451523"/>
      </bottom>
      <diagonal/>
    </border>
    <border>
      <left style="thin">
        <color theme="9" tint="0.39991454817346722"/>
      </left>
      <right style="thin">
        <color theme="9" tint="0.39991454817346722"/>
      </right>
      <top style="thick">
        <color theme="9" tint="0.39985351115451523"/>
      </top>
      <bottom style="thick">
        <color theme="9" tint="0.39985351115451523"/>
      </bottom>
      <diagonal/>
    </border>
    <border>
      <left style="thin">
        <color theme="9" tint="0.39991454817346722"/>
      </left>
      <right style="thick">
        <color theme="9" tint="0.39985351115451523"/>
      </right>
      <top style="thick">
        <color theme="9" tint="0.39985351115451523"/>
      </top>
      <bottom style="thick">
        <color theme="9" tint="0.399853511154515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12767A"/>
      </left>
      <right/>
      <top style="medium">
        <color rgb="FF12767A"/>
      </top>
      <bottom style="medium">
        <color rgb="FF12767A"/>
      </bottom>
      <diagonal/>
    </border>
    <border>
      <left/>
      <right/>
      <top style="medium">
        <color rgb="FF12767A"/>
      </top>
      <bottom style="medium">
        <color rgb="FF12767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 wrapText="1"/>
      <protection hidden="1"/>
    </xf>
    <xf numFmtId="0" fontId="0" fillId="3" borderId="2" xfId="0" applyFill="1" applyBorder="1" applyAlignment="1">
      <alignment vertical="center"/>
    </xf>
    <xf numFmtId="164" fontId="0" fillId="2" borderId="3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right" vertical="center"/>
    </xf>
    <xf numFmtId="165" fontId="0" fillId="2" borderId="4" xfId="0" applyNumberForma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>
      <alignment vertical="center"/>
    </xf>
    <xf numFmtId="164" fontId="0" fillId="2" borderId="6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165" fontId="0" fillId="3" borderId="8" xfId="0" applyNumberFormat="1" applyFill="1" applyBorder="1" applyAlignment="1">
      <alignment horizontal="right" vertical="center"/>
    </xf>
    <xf numFmtId="165" fontId="0" fillId="2" borderId="7" xfId="0" applyNumberFormat="1" applyFill="1" applyBorder="1" applyAlignment="1">
      <alignment horizontal="right" vertical="center"/>
    </xf>
    <xf numFmtId="0" fontId="0" fillId="3" borderId="9" xfId="0" applyFill="1" applyBorder="1" applyAlignment="1">
      <alignment vertical="center"/>
    </xf>
    <xf numFmtId="164" fontId="0" fillId="2" borderId="10" xfId="0" applyNumberFormat="1" applyFill="1" applyBorder="1" applyAlignment="1">
      <alignment horizontal="center" vertical="center"/>
    </xf>
    <xf numFmtId="10" fontId="0" fillId="2" borderId="11" xfId="0" applyNumberFormat="1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6" fontId="0" fillId="2" borderId="0" xfId="0" applyNumberFormat="1" applyFill="1" applyAlignment="1">
      <alignment vertical="center"/>
    </xf>
    <xf numFmtId="0" fontId="2" fillId="3" borderId="2" xfId="0" applyFont="1" applyFill="1" applyBorder="1" applyAlignment="1">
      <alignment vertical="center"/>
    </xf>
    <xf numFmtId="164" fontId="0" fillId="3" borderId="12" xfId="0" applyNumberFormat="1" applyFill="1" applyBorder="1" applyAlignment="1">
      <alignment horizontal="center" vertical="center"/>
    </xf>
    <xf numFmtId="165" fontId="0" fillId="3" borderId="13" xfId="0" applyNumberForma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/>
    </xf>
    <xf numFmtId="165" fontId="0" fillId="2" borderId="11" xfId="0" applyNumberForma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165" fontId="0" fillId="3" borderId="0" xfId="0" applyNumberFormat="1" applyFill="1" applyAlignment="1">
      <alignment horizontal="right" vertical="center"/>
    </xf>
    <xf numFmtId="0" fontId="0" fillId="3" borderId="8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0" fillId="2" borderId="7" xfId="0" applyNumberFormat="1" applyFill="1" applyBorder="1" applyAlignment="1" applyProtection="1">
      <alignment vertical="center"/>
      <protection locked="0"/>
    </xf>
    <xf numFmtId="165" fontId="0" fillId="2" borderId="7" xfId="0" applyNumberForma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165" fontId="0" fillId="2" borderId="11" xfId="0" applyNumberForma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right" vertical="center"/>
    </xf>
    <xf numFmtId="0" fontId="0" fillId="2" borderId="0" xfId="0" applyFill="1" applyAlignment="1" applyProtection="1">
      <alignment vertical="center"/>
    </xf>
    <xf numFmtId="10" fontId="0" fillId="2" borderId="0" xfId="0" applyNumberFormat="1" applyFill="1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165" fontId="0" fillId="2" borderId="0" xfId="0" applyNumberFormat="1" applyFill="1" applyAlignment="1" applyProtection="1">
      <alignment horizontal="center" vertical="center"/>
    </xf>
    <xf numFmtId="166" fontId="0" fillId="2" borderId="0" xfId="0" applyNumberForma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10" fontId="7" fillId="2" borderId="0" xfId="0" applyNumberFormat="1" applyFont="1" applyFill="1" applyAlignment="1" applyProtection="1">
      <alignment horizontal="center" vertical="center"/>
    </xf>
    <xf numFmtId="165" fontId="7" fillId="2" borderId="0" xfId="0" applyNumberFormat="1" applyFont="1" applyFill="1" applyAlignment="1" applyProtection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right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167" fontId="0" fillId="2" borderId="7" xfId="0" applyNumberFormat="1" applyFill="1" applyBorder="1" applyAlignment="1" applyProtection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10" fontId="0" fillId="2" borderId="0" xfId="0" applyNumberFormat="1" applyFont="1" applyFill="1" applyAlignment="1" applyProtection="1">
      <alignment horizontal="center" vertical="center"/>
    </xf>
    <xf numFmtId="10" fontId="0" fillId="2" borderId="0" xfId="0" applyNumberFormat="1" applyFill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0" fontId="6" fillId="2" borderId="1" xfId="0" applyNumberFormat="1" applyFont="1" applyFill="1" applyBorder="1" applyAlignment="1" applyProtection="1">
      <alignment horizontal="center" vertical="center"/>
      <protection locked="0"/>
    </xf>
    <xf numFmtId="10" fontId="6" fillId="4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10" fontId="5" fillId="5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1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10" fontId="6" fillId="6" borderId="1" xfId="0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4" borderId="22" xfId="0" applyNumberForma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4" borderId="23" xfId="0" applyNumberForma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64" fontId="0" fillId="2" borderId="0" xfId="0" applyNumberFormat="1" applyFill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168" fontId="6" fillId="10" borderId="1" xfId="0" applyNumberFormat="1" applyFont="1" applyFill="1" applyBorder="1" applyAlignment="1">
      <alignment horizontal="center" vertical="center" wrapText="1"/>
    </xf>
    <xf numFmtId="168" fontId="0" fillId="2" borderId="0" xfId="0" applyNumberFormat="1" applyFill="1" applyAlignment="1">
      <alignment horizontal="center" vertical="center" wrapText="1"/>
    </xf>
    <xf numFmtId="10" fontId="6" fillId="10" borderId="1" xfId="0" applyNumberFormat="1" applyFont="1" applyFill="1" applyBorder="1" applyAlignment="1">
      <alignment horizontal="center" vertical="center" wrapText="1"/>
    </xf>
    <xf numFmtId="10" fontId="0" fillId="2" borderId="0" xfId="0" applyNumberFormat="1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 wrapText="1"/>
    </xf>
    <xf numFmtId="168" fontId="0" fillId="6" borderId="0" xfId="0" applyNumberFormat="1" applyFill="1" applyAlignment="1">
      <alignment horizontal="center" vertical="center" wrapText="1"/>
    </xf>
    <xf numFmtId="10" fontId="0" fillId="6" borderId="0" xfId="0" applyNumberFormat="1" applyFill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right" vertical="center" wrapText="1"/>
    </xf>
    <xf numFmtId="0" fontId="0" fillId="4" borderId="0" xfId="0" applyFill="1" applyAlignment="1">
      <alignment horizontal="right" vertical="center" wrapText="1"/>
    </xf>
    <xf numFmtId="165" fontId="0" fillId="4" borderId="0" xfId="0" applyNumberFormat="1" applyFill="1" applyAlignment="1">
      <alignment horizontal="right" vertical="center" wrapText="1"/>
    </xf>
    <xf numFmtId="164" fontId="0" fillId="4" borderId="0" xfId="0" applyNumberForma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0" fontId="0" fillId="4" borderId="0" xfId="0" applyNumberFormat="1" applyFill="1" applyAlignment="1">
      <alignment horizontal="lef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6" borderId="0" xfId="0" applyFill="1" applyAlignment="1">
      <alignment horizontal="center" vertical="center" wrapText="1"/>
    </xf>
    <xf numFmtId="49" fontId="0" fillId="6" borderId="0" xfId="0" applyNumberFormat="1" applyFill="1" applyAlignment="1">
      <alignment horizontal="center" vertical="center" wrapText="1"/>
    </xf>
    <xf numFmtId="6" fontId="0" fillId="2" borderId="0" xfId="0" applyNumberFormat="1" applyFill="1" applyAlignment="1">
      <alignment horizontal="center" vertical="center" wrapText="1"/>
    </xf>
    <xf numFmtId="168" fontId="0" fillId="6" borderId="0" xfId="0" applyNumberFormat="1" applyFill="1" applyAlignment="1" applyProtection="1">
      <alignment horizontal="center" vertical="center" wrapText="1"/>
      <protection hidden="1"/>
    </xf>
    <xf numFmtId="168" fontId="0" fillId="2" borderId="0" xfId="0" applyNumberFormat="1" applyFill="1" applyAlignment="1" applyProtection="1">
      <alignment horizontal="center" vertical="center" wrapText="1"/>
      <protection hidden="1"/>
    </xf>
    <xf numFmtId="0" fontId="0" fillId="2" borderId="1" xfId="0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quotePrefix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165" fontId="0" fillId="2" borderId="0" xfId="0" applyNumberForma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10" fontId="0" fillId="3" borderId="0" xfId="0" applyNumberFormat="1" applyFill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 vertical="center"/>
    </xf>
    <xf numFmtId="10" fontId="0" fillId="4" borderId="1" xfId="0" applyNumberFormat="1" applyFont="1" applyFill="1" applyBorder="1" applyAlignment="1" applyProtection="1">
      <alignment horizontal="center" vertical="center"/>
    </xf>
    <xf numFmtId="10" fontId="6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/>
    </xf>
    <xf numFmtId="10" fontId="6" fillId="2" borderId="0" xfId="0" quotePrefix="1" applyNumberFormat="1" applyFont="1" applyFill="1" applyAlignment="1" applyProtection="1">
      <alignment horizontal="center" vertical="center"/>
    </xf>
    <xf numFmtId="0" fontId="5" fillId="5" borderId="1" xfId="0" applyFont="1" applyFill="1" applyBorder="1" applyAlignment="1" applyProtection="1">
      <alignment vertical="center"/>
    </xf>
    <xf numFmtId="0" fontId="5" fillId="7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vertical="center"/>
    </xf>
    <xf numFmtId="10" fontId="0" fillId="2" borderId="0" xfId="0" applyNumberFormat="1" applyFont="1" applyFill="1" applyAlignment="1" applyProtection="1">
      <alignment horizontal="left" vertical="center"/>
    </xf>
    <xf numFmtId="165" fontId="0" fillId="2" borderId="0" xfId="0" applyNumberFormat="1" applyFont="1" applyFill="1" applyAlignment="1" applyProtection="1">
      <alignment horizontal="center" vertical="center"/>
    </xf>
    <xf numFmtId="10" fontId="0" fillId="10" borderId="0" xfId="0" applyNumberFormat="1" applyFill="1" applyAlignment="1" applyProtection="1">
      <alignment horizontal="center" vertical="center"/>
    </xf>
    <xf numFmtId="165" fontId="0" fillId="10" borderId="0" xfId="0" applyNumberFormat="1" applyFill="1" applyAlignment="1" applyProtection="1">
      <alignment horizontal="center" vertical="center"/>
    </xf>
    <xf numFmtId="10" fontId="0" fillId="2" borderId="0" xfId="0" applyNumberFormat="1" applyFont="1" applyFill="1" applyAlignment="1" applyProtection="1">
      <alignment vertical="center"/>
    </xf>
    <xf numFmtId="10" fontId="0" fillId="2" borderId="0" xfId="0" quotePrefix="1" applyNumberFormat="1" applyFont="1" applyFill="1" applyAlignment="1" applyProtection="1">
      <alignment horizontal="center" vertical="center"/>
    </xf>
    <xf numFmtId="0" fontId="0" fillId="2" borderId="0" xfId="0" applyNumberFormat="1" applyFill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0" fillId="6" borderId="0" xfId="0" applyNumberFormat="1" applyFill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14" fontId="11" fillId="2" borderId="0" xfId="0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ill="1" applyAlignment="1" applyProtection="1">
      <alignment horizontal="center" vertical="center" wrapText="1"/>
    </xf>
    <xf numFmtId="49" fontId="0" fillId="4" borderId="0" xfId="0" applyNumberFormat="1" applyFill="1" applyAlignment="1" applyProtection="1">
      <alignment horizontal="center" vertical="center" wrapText="1"/>
    </xf>
    <xf numFmtId="49" fontId="0" fillId="3" borderId="0" xfId="0" applyNumberFormat="1" applyFill="1" applyAlignment="1" applyProtection="1">
      <alignment horizontal="center" vertical="center" wrapText="1"/>
    </xf>
    <xf numFmtId="0" fontId="0" fillId="2" borderId="0" xfId="0" applyNumberFormat="1" applyFill="1" applyAlignment="1" applyProtection="1">
      <alignment horizontal="center" vertical="center" wrapText="1"/>
      <protection hidden="1"/>
    </xf>
    <xf numFmtId="49" fontId="16" fillId="9" borderId="0" xfId="0" applyNumberFormat="1" applyFont="1" applyFill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center" vertical="center" wrapText="1"/>
      <protection hidden="1"/>
    </xf>
    <xf numFmtId="6" fontId="0" fillId="2" borderId="0" xfId="0" applyNumberFormat="1" applyFill="1" applyAlignment="1" applyProtection="1">
      <alignment horizontal="center" vertical="center" wrapText="1"/>
    </xf>
    <xf numFmtId="8" fontId="0" fillId="2" borderId="0" xfId="0" applyNumberFormat="1" applyFill="1" applyAlignment="1" applyProtection="1">
      <alignment horizontal="center" vertical="center" wrapText="1"/>
    </xf>
    <xf numFmtId="165" fontId="0" fillId="2" borderId="0" xfId="0" applyNumberFormat="1" applyFill="1" applyAlignment="1" applyProtection="1">
      <alignment horizontal="center" vertical="center" wrapText="1"/>
    </xf>
    <xf numFmtId="0" fontId="0" fillId="2" borderId="0" xfId="0" applyNumberFormat="1" applyFont="1" applyFill="1" applyAlignment="1" applyProtection="1">
      <alignment horizontal="left" vertical="center" wrapText="1"/>
    </xf>
    <xf numFmtId="165" fontId="0" fillId="11" borderId="0" xfId="0" applyNumberFormat="1" applyFill="1" applyAlignment="1" applyProtection="1">
      <alignment horizontal="left" vertical="center" wrapText="1"/>
    </xf>
    <xf numFmtId="6" fontId="0" fillId="4" borderId="0" xfId="0" applyNumberFormat="1" applyFill="1" applyAlignment="1" applyProtection="1">
      <alignment horizontal="center" vertical="center" wrapText="1"/>
    </xf>
    <xf numFmtId="165" fontId="0" fillId="4" borderId="0" xfId="0" applyNumberFormat="1" applyFill="1" applyAlignment="1" applyProtection="1">
      <alignment horizontal="center" vertical="center" wrapText="1"/>
    </xf>
    <xf numFmtId="8" fontId="0" fillId="4" borderId="0" xfId="0" applyNumberFormat="1" applyFill="1" applyAlignment="1" applyProtection="1">
      <alignment horizontal="center" vertical="center" wrapText="1"/>
    </xf>
    <xf numFmtId="0" fontId="0" fillId="4" borderId="0" xfId="0" applyNumberFormat="1" applyFill="1" applyAlignment="1" applyProtection="1">
      <alignment horizontal="center" vertical="center" wrapText="1"/>
      <protection hidden="1"/>
    </xf>
    <xf numFmtId="0" fontId="0" fillId="4" borderId="0" xfId="0" applyNumberFormat="1" applyFill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14" fontId="11" fillId="2" borderId="1" xfId="0" applyNumberFormat="1" applyFont="1" applyFill="1" applyBorder="1" applyAlignment="1" applyProtection="1">
      <alignment horizontal="center" vertical="center" wrapText="1"/>
    </xf>
    <xf numFmtId="0" fontId="11" fillId="6" borderId="1" xfId="0" applyNumberFormat="1" applyFont="1" applyFill="1" applyBorder="1" applyAlignment="1" applyProtection="1">
      <alignment horizontal="center" vertical="center" wrapText="1"/>
    </xf>
    <xf numFmtId="165" fontId="6" fillId="6" borderId="1" xfId="0" applyNumberFormat="1" applyFont="1" applyFill="1" applyBorder="1" applyAlignment="1" applyProtection="1">
      <alignment horizontal="center" vertical="center"/>
      <protection locked="0"/>
    </xf>
    <xf numFmtId="165" fontId="10" fillId="6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165" fontId="5" fillId="13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0" fontId="5" fillId="13" borderId="1" xfId="0" applyNumberFormat="1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vertical="center"/>
    </xf>
    <xf numFmtId="164" fontId="4" fillId="12" borderId="33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22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12" borderId="1" xfId="0" applyFont="1" applyFill="1" applyBorder="1" applyAlignment="1" applyProtection="1">
      <alignment vertical="center"/>
      <protection locked="0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164" fontId="4" fillId="12" borderId="34" xfId="0" applyNumberFormat="1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165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6" fillId="12" borderId="1" xfId="0" applyNumberFormat="1" applyFont="1" applyFill="1" applyBorder="1" applyAlignment="1" applyProtection="1">
      <alignment horizontal="center" vertical="center"/>
      <protection locked="0"/>
    </xf>
    <xf numFmtId="10" fontId="6" fillId="12" borderId="1" xfId="0" applyNumberFormat="1" applyFont="1" applyFill="1" applyBorder="1" applyAlignment="1" applyProtection="1">
      <alignment horizontal="center" vertical="center"/>
      <protection locked="0"/>
    </xf>
    <xf numFmtId="0" fontId="24" fillId="6" borderId="1" xfId="0" applyFont="1" applyFill="1" applyBorder="1" applyAlignment="1">
      <alignment vertical="center"/>
    </xf>
    <xf numFmtId="0" fontId="26" fillId="9" borderId="1" xfId="0" applyFont="1" applyFill="1" applyBorder="1" applyAlignment="1">
      <alignment vertical="center"/>
    </xf>
    <xf numFmtId="165" fontId="0" fillId="2" borderId="7" xfId="0" applyNumberForma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</xf>
    <xf numFmtId="165" fontId="6" fillId="2" borderId="1" xfId="0" applyNumberFormat="1" applyFont="1" applyFill="1" applyBorder="1" applyAlignment="1" applyProtection="1">
      <alignment horizontal="center" vertical="center"/>
    </xf>
    <xf numFmtId="165" fontId="6" fillId="12" borderId="1" xfId="0" applyNumberFormat="1" applyFont="1" applyFill="1" applyBorder="1" applyAlignment="1" applyProtection="1">
      <alignment horizontal="center" vertical="center"/>
    </xf>
    <xf numFmtId="165" fontId="4" fillId="2" borderId="1" xfId="0" applyNumberFormat="1" applyFont="1" applyFill="1" applyBorder="1" applyAlignment="1" applyProtection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/>
    <xf numFmtId="169" fontId="0" fillId="2" borderId="0" xfId="0" applyNumberFormat="1" applyFill="1"/>
    <xf numFmtId="0" fontId="18" fillId="8" borderId="1" xfId="0" applyFont="1" applyFill="1" applyBorder="1" applyAlignment="1">
      <alignment horizontal="center"/>
    </xf>
    <xf numFmtId="0" fontId="18" fillId="15" borderId="35" xfId="0" applyFont="1" applyFill="1" applyBorder="1" applyAlignment="1">
      <alignment horizontal="center"/>
    </xf>
    <xf numFmtId="0" fontId="18" fillId="15" borderId="22" xfId="0" applyFont="1" applyFill="1" applyBorder="1" applyAlignment="1">
      <alignment horizontal="center"/>
    </xf>
    <xf numFmtId="0" fontId="18" fillId="15" borderId="1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1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169" fontId="1" fillId="9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/>
    </xf>
    <xf numFmtId="169" fontId="27" fillId="2" borderId="0" xfId="0" applyNumberFormat="1" applyFont="1" applyFill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170" fontId="19" fillId="4" borderId="1" xfId="0" applyNumberFormat="1" applyFont="1" applyFill="1" applyBorder="1" applyAlignment="1">
      <alignment horizontal="center" vertical="center"/>
    </xf>
    <xf numFmtId="0" fontId="0" fillId="17" borderId="0" xfId="0" applyFill="1" applyAlignment="1">
      <alignment vertical="center"/>
    </xf>
    <xf numFmtId="0" fontId="0" fillId="17" borderId="0" xfId="0" applyFill="1" applyAlignment="1">
      <alignment horizontal="center" vertical="center"/>
    </xf>
    <xf numFmtId="0" fontId="0" fillId="16" borderId="0" xfId="0" applyFill="1" applyAlignment="1">
      <alignment vertical="center"/>
    </xf>
    <xf numFmtId="0" fontId="0" fillId="16" borderId="0" xfId="0" applyFill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10" fontId="4" fillId="19" borderId="1" xfId="0" applyNumberFormat="1" applyFont="1" applyFill="1" applyBorder="1" applyAlignment="1">
      <alignment horizontal="center" vertical="center"/>
    </xf>
    <xf numFmtId="17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0" fillId="4" borderId="0" xfId="0" applyFont="1" applyFill="1"/>
    <xf numFmtId="0" fontId="6" fillId="3" borderId="0" xfId="0" applyFont="1" applyFill="1"/>
    <xf numFmtId="0" fontId="6" fillId="20" borderId="0" xfId="0" applyFont="1" applyFill="1"/>
    <xf numFmtId="0" fontId="6" fillId="21" borderId="0" xfId="0" applyFont="1" applyFill="1"/>
    <xf numFmtId="0" fontId="6" fillId="2" borderId="19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20" xfId="0" applyFont="1" applyFill="1" applyBorder="1"/>
    <xf numFmtId="0" fontId="6" fillId="2" borderId="39" xfId="0" applyFont="1" applyFill="1" applyBorder="1" applyAlignment="1">
      <alignment horizontal="center"/>
    </xf>
    <xf numFmtId="0" fontId="6" fillId="2" borderId="40" xfId="0" applyFont="1" applyFill="1" applyBorder="1"/>
    <xf numFmtId="0" fontId="6" fillId="2" borderId="41" xfId="0" applyFont="1" applyFill="1" applyBorder="1"/>
    <xf numFmtId="165" fontId="13" fillId="2" borderId="0" xfId="0" applyNumberFormat="1" applyFont="1" applyFill="1" applyAlignment="1">
      <alignment horizontal="center" vertical="center"/>
    </xf>
    <xf numFmtId="165" fontId="0" fillId="3" borderId="8" xfId="0" applyNumberFormat="1" applyFill="1" applyBorder="1" applyAlignment="1" applyProtection="1">
      <alignment horizontal="right" vertical="center"/>
    </xf>
    <xf numFmtId="165" fontId="0" fillId="2" borderId="8" xfId="0" applyNumberFormat="1" applyFill="1" applyBorder="1" applyAlignment="1" applyProtection="1">
      <alignment horizontal="right" vertical="center"/>
    </xf>
    <xf numFmtId="0" fontId="28" fillId="22" borderId="35" xfId="0" applyFont="1" applyFill="1" applyBorder="1" applyAlignment="1">
      <alignment horizontal="center" vertical="center" wrapText="1"/>
    </xf>
    <xf numFmtId="0" fontId="28" fillId="22" borderId="37" xfId="0" applyFont="1" applyFill="1" applyBorder="1" applyAlignment="1">
      <alignment horizontal="center" vertical="center" wrapText="1"/>
    </xf>
    <xf numFmtId="0" fontId="7" fillId="22" borderId="37" xfId="0" applyFont="1" applyFill="1" applyBorder="1" applyAlignment="1">
      <alignment horizontal="center" vertical="center" wrapText="1"/>
    </xf>
    <xf numFmtId="0" fontId="7" fillId="22" borderId="22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8" fillId="8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vertical="center" wrapText="1"/>
    </xf>
    <xf numFmtId="0" fontId="0" fillId="19" borderId="0" xfId="0" applyFill="1" applyBorder="1" applyAlignment="1">
      <alignment vertical="center" wrapText="1"/>
    </xf>
    <xf numFmtId="0" fontId="0" fillId="19" borderId="20" xfId="0" applyFill="1" applyBorder="1" applyAlignment="1">
      <alignment vertical="center" wrapText="1"/>
    </xf>
    <xf numFmtId="0" fontId="0" fillId="19" borderId="39" xfId="0" applyFill="1" applyBorder="1" applyAlignment="1">
      <alignment vertical="center" wrapText="1"/>
    </xf>
    <xf numFmtId="0" fontId="0" fillId="19" borderId="40" xfId="0" applyFill="1" applyBorder="1" applyAlignment="1">
      <alignment vertical="center" wrapText="1"/>
    </xf>
    <xf numFmtId="0" fontId="0" fillId="19" borderId="41" xfId="0" applyFill="1" applyBorder="1" applyAlignment="1">
      <alignment vertical="center" wrapText="1"/>
    </xf>
    <xf numFmtId="0" fontId="6" fillId="19" borderId="38" xfId="0" applyFont="1" applyFill="1" applyBorder="1" applyAlignment="1">
      <alignment vertical="center" wrapText="1"/>
    </xf>
    <xf numFmtId="0" fontId="0" fillId="19" borderId="36" xfId="0" applyFill="1" applyBorder="1" applyAlignment="1">
      <alignment vertical="center" wrapText="1"/>
    </xf>
    <xf numFmtId="0" fontId="0" fillId="19" borderId="23" xfId="0" applyFill="1" applyBorder="1" applyAlignment="1">
      <alignment vertical="center" wrapText="1"/>
    </xf>
    <xf numFmtId="0" fontId="0" fillId="19" borderId="19" xfId="0" applyFill="1" applyBorder="1" applyAlignment="1">
      <alignment vertical="center" wrapText="1"/>
    </xf>
    <xf numFmtId="0" fontId="6" fillId="11" borderId="38" xfId="0" applyFont="1" applyFill="1" applyBorder="1" applyAlignment="1">
      <alignment horizontal="left" vertical="center"/>
    </xf>
    <xf numFmtId="0" fontId="0" fillId="11" borderId="36" xfId="0" applyFill="1" applyBorder="1" applyAlignment="1">
      <alignment horizontal="left" vertical="center"/>
    </xf>
    <xf numFmtId="0" fontId="0" fillId="11" borderId="23" xfId="0" applyFill="1" applyBorder="1" applyAlignment="1">
      <alignment horizontal="left" vertical="center"/>
    </xf>
    <xf numFmtId="0" fontId="6" fillId="11" borderId="19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0" fillId="11" borderId="20" xfId="0" applyFill="1" applyBorder="1" applyAlignment="1">
      <alignment horizontal="left" vertical="center"/>
    </xf>
    <xf numFmtId="0" fontId="6" fillId="11" borderId="39" xfId="0" applyFont="1" applyFill="1" applyBorder="1" applyAlignment="1">
      <alignment horizontal="left" vertical="center"/>
    </xf>
    <xf numFmtId="0" fontId="0" fillId="11" borderId="40" xfId="0" applyFill="1" applyBorder="1" applyAlignment="1">
      <alignment horizontal="left" vertical="center"/>
    </xf>
    <xf numFmtId="0" fontId="0" fillId="11" borderId="41" xfId="0" applyFill="1" applyBorder="1" applyAlignment="1">
      <alignment horizontal="left" vertical="center"/>
    </xf>
    <xf numFmtId="0" fontId="18" fillId="18" borderId="2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vertical="center" wrapText="1"/>
    </xf>
    <xf numFmtId="0" fontId="0" fillId="19" borderId="1" xfId="0" applyFill="1" applyBorder="1" applyAlignment="1">
      <alignment vertical="center" wrapText="1"/>
    </xf>
    <xf numFmtId="0" fontId="5" fillId="7" borderId="0" xfId="0" applyFont="1" applyFill="1" applyAlignment="1" applyProtection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5" borderId="19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6" borderId="0" xfId="0" applyFont="1" applyFill="1" applyAlignment="1" applyProtection="1">
      <alignment vertical="center" wrapText="1"/>
    </xf>
    <xf numFmtId="0" fontId="6" fillId="6" borderId="0" xfId="0" applyFont="1" applyFill="1" applyAlignment="1">
      <alignment vertical="center" wrapText="1"/>
    </xf>
    <xf numFmtId="0" fontId="6" fillId="6" borderId="0" xfId="0" quotePrefix="1" applyFont="1" applyFill="1" applyAlignment="1" applyProtection="1">
      <alignment vertical="center" wrapText="1"/>
    </xf>
    <xf numFmtId="0" fontId="5" fillId="7" borderId="36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19" borderId="0" xfId="0" quotePrefix="1" applyFont="1" applyFill="1" applyAlignment="1">
      <alignment vertical="center" wrapText="1"/>
    </xf>
    <xf numFmtId="0" fontId="0" fillId="19" borderId="0" xfId="0" applyFill="1" applyAlignment="1">
      <alignment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165" fontId="19" fillId="19" borderId="1" xfId="0" applyNumberFormat="1" applyFont="1" applyFill="1" applyBorder="1" applyAlignment="1">
      <alignment horizontal="center" vertical="center" wrapText="1"/>
    </xf>
    <xf numFmtId="0" fontId="19" fillId="19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0" fontId="6" fillId="6" borderId="0" xfId="0" quotePrefix="1" applyFont="1" applyFill="1" applyAlignment="1">
      <alignment vertical="center" wrapText="1"/>
    </xf>
    <xf numFmtId="0" fontId="6" fillId="19" borderId="0" xfId="0" applyFont="1" applyFill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" fillId="7" borderId="0" xfId="0" applyNumberFormat="1" applyFont="1" applyFill="1" applyAlignment="1" applyProtection="1">
      <alignment horizontal="center" vertical="center" wrapText="1"/>
    </xf>
    <xf numFmtId="0" fontId="0" fillId="11" borderId="0" xfId="0" applyNumberFormat="1" applyFont="1" applyFill="1" applyAlignment="1" applyProtection="1">
      <alignment horizontal="left" vertical="center" wrapText="1"/>
    </xf>
    <xf numFmtId="0" fontId="0" fillId="11" borderId="0" xfId="0" applyFill="1" applyAlignment="1">
      <alignment vertical="center" wrapText="1"/>
    </xf>
    <xf numFmtId="0" fontId="18" fillId="5" borderId="0" xfId="0" applyNumberFormat="1" applyFont="1" applyFill="1" applyBorder="1" applyAlignment="1" applyProtection="1">
      <alignment horizontal="center" vertical="center" wrapText="1"/>
    </xf>
    <xf numFmtId="165" fontId="19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5" fontId="6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</cellXfs>
  <cellStyles count="1">
    <cellStyle name="Normal" xfId="0" builtinId="0"/>
  </cellStyles>
  <dxfs count="59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theme="5" tint="-0.499984740745262"/>
      </font>
      <fill>
        <patternFill>
          <bgColor theme="0"/>
        </patternFill>
      </fill>
    </dxf>
    <dxf>
      <font>
        <b/>
        <i val="0"/>
        <color theme="8" tint="-0.499984740745262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theme="5" tint="-0.499984740745262"/>
      </font>
      <fill>
        <patternFill>
          <bgColor theme="0"/>
        </patternFill>
      </fill>
    </dxf>
    <dxf>
      <font>
        <b/>
        <i val="0"/>
        <color theme="8" tint="-0.499984740745262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color auto="1"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strike val="0"/>
        <color theme="0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theme="9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5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b/>
        <i/>
        <color theme="0"/>
      </font>
      <fill>
        <patternFill>
          <bgColor rgb="FFFF0000"/>
        </patternFill>
      </fill>
    </dxf>
    <dxf>
      <font>
        <b val="0"/>
        <i val="0"/>
        <color theme="1"/>
      </font>
      <fill>
        <patternFill>
          <bgColor theme="0" tint="-0.14996795556505021"/>
        </patternFill>
      </fill>
    </dxf>
    <dxf>
      <font>
        <b/>
        <i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colors>
    <mruColors>
      <color rgb="FF12767A"/>
      <color rgb="FFB7D6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16</xdr:row>
      <xdr:rowOff>9526</xdr:rowOff>
    </xdr:from>
    <xdr:to>
      <xdr:col>15</xdr:col>
      <xdr:colOff>711075</xdr:colOff>
      <xdr:row>30</xdr:row>
      <xdr:rowOff>190535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3467101"/>
          <a:ext cx="6435600" cy="306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2"/>
  <sheetViews>
    <sheetView workbookViewId="0">
      <selection activeCell="D4" sqref="D4:D5"/>
    </sheetView>
  </sheetViews>
  <sheetFormatPr baseColWidth="10" defaultRowHeight="15.75" customHeight="1" x14ac:dyDescent="0.25"/>
  <cols>
    <col min="1" max="1" width="3" style="228" customWidth="1"/>
    <col min="2" max="2" width="28.5703125" style="228" customWidth="1"/>
    <col min="3" max="3" width="29" style="228" customWidth="1"/>
    <col min="4" max="4" width="28.5703125" style="228" customWidth="1"/>
    <col min="5" max="5" width="3.5703125" style="228" customWidth="1"/>
    <col min="6" max="6" width="28.5703125" style="229" hidden="1" customWidth="1"/>
    <col min="7" max="7" width="3.5703125" style="228" hidden="1" customWidth="1"/>
    <col min="8" max="8" width="86.28515625" style="228" hidden="1" customWidth="1"/>
    <col min="9" max="9" width="58.85546875" style="229" hidden="1" customWidth="1"/>
    <col min="10" max="10" width="197.140625" style="228" hidden="1" customWidth="1"/>
    <col min="11" max="11" width="10.5703125" style="229" customWidth="1"/>
    <col min="12" max="12" width="41.28515625" style="228" customWidth="1"/>
    <col min="13" max="15" width="11.42578125" style="228"/>
    <col min="16" max="16" width="11" style="228" customWidth="1"/>
    <col min="17" max="16384" width="11.42578125" style="228"/>
  </cols>
  <sheetData>
    <row r="2" spans="2:16" ht="15.75" customHeight="1" x14ac:dyDescent="0.25">
      <c r="B2" s="248" t="s">
        <v>970</v>
      </c>
      <c r="C2" s="248" t="s">
        <v>971</v>
      </c>
      <c r="D2" s="248" t="s">
        <v>972</v>
      </c>
      <c r="H2" s="228" t="s">
        <v>973</v>
      </c>
      <c r="I2" s="229" t="s">
        <v>974</v>
      </c>
      <c r="J2" s="228" t="s">
        <v>975</v>
      </c>
    </row>
    <row r="3" spans="2:16" ht="15.75" customHeight="1" x14ac:dyDescent="0.25">
      <c r="B3" s="248"/>
      <c r="C3" s="248"/>
      <c r="D3" s="248"/>
      <c r="F3" s="230" t="s">
        <v>976</v>
      </c>
      <c r="H3" s="231" t="str">
        <f>CONCATENATE(F3,F3,F7)</f>
        <v>Residente en EspañaResidente en EspañaEspaña</v>
      </c>
      <c r="I3" s="229" t="s">
        <v>977</v>
      </c>
      <c r="J3" s="228" t="s">
        <v>978</v>
      </c>
      <c r="K3" s="228"/>
    </row>
    <row r="4" spans="2:16" ht="15.75" customHeight="1" x14ac:dyDescent="0.25">
      <c r="B4" s="249" t="s">
        <v>976</v>
      </c>
      <c r="C4" s="249" t="s">
        <v>979</v>
      </c>
      <c r="D4" s="249" t="s">
        <v>976</v>
      </c>
      <c r="F4" s="229" t="s">
        <v>980</v>
      </c>
      <c r="H4" s="231" t="str">
        <f>CONCATENATE(F3,F3,F8)</f>
        <v>Residente en EspañaResidente en EspañaFuera de España</v>
      </c>
      <c r="I4" s="229" t="s">
        <v>977</v>
      </c>
      <c r="J4" s="228" t="s">
        <v>978</v>
      </c>
      <c r="K4" s="228"/>
    </row>
    <row r="5" spans="2:16" ht="15.75" customHeight="1" x14ac:dyDescent="0.25">
      <c r="B5" s="249"/>
      <c r="C5" s="249"/>
      <c r="D5" s="249"/>
      <c r="H5" s="232" t="str">
        <f>CONCATENATE(F3,F4,F7)</f>
        <v>Residente en EspañaNO Residente en EspañaEspaña</v>
      </c>
      <c r="I5" s="229" t="s">
        <v>981</v>
      </c>
      <c r="J5" s="228" t="s">
        <v>982</v>
      </c>
      <c r="K5" s="228"/>
    </row>
    <row r="6" spans="2:16" ht="15.75" customHeight="1" x14ac:dyDescent="0.25">
      <c r="H6" s="232" t="str">
        <f>CONCATENATE(F3,F4,F8)</f>
        <v>Residente en EspañaNO Residente en EspañaFuera de España</v>
      </c>
      <c r="I6" s="229" t="s">
        <v>981</v>
      </c>
      <c r="J6" s="228" t="s">
        <v>982</v>
      </c>
      <c r="K6" s="228"/>
    </row>
    <row r="7" spans="2:16" ht="22.5" customHeight="1" x14ac:dyDescent="0.25">
      <c r="B7" s="250" t="s">
        <v>983</v>
      </c>
      <c r="C7" s="250"/>
      <c r="D7" s="250"/>
      <c r="F7" s="229" t="s">
        <v>979</v>
      </c>
      <c r="H7" s="233" t="str">
        <f>CONCATENATE(F4,F3,F7)</f>
        <v>NO Residente en EspañaResidente en EspañaEspaña</v>
      </c>
      <c r="I7" s="229" t="s">
        <v>981</v>
      </c>
      <c r="J7" s="228" t="s">
        <v>984</v>
      </c>
      <c r="K7" s="228"/>
    </row>
    <row r="8" spans="2:16" ht="15.75" customHeight="1" x14ac:dyDescent="0.25">
      <c r="B8" s="251" t="str">
        <f>IF(ISERROR(VLOOKUP(H24,H3:J20,2,0)),"",VLOOKUP(H24,H3:J20,2,0))</f>
        <v>Comunidad Autónoma en la que residía el fallecido</v>
      </c>
      <c r="C8" s="251"/>
      <c r="D8" s="251"/>
      <c r="F8" s="229" t="s">
        <v>985</v>
      </c>
      <c r="H8" s="233" t="str">
        <f>CONCATENATE(F4,F3,F8)</f>
        <v>NO Residente en EspañaResidente en EspañaFuera de España</v>
      </c>
      <c r="I8" s="229" t="s">
        <v>981</v>
      </c>
      <c r="J8" s="228" t="s">
        <v>986</v>
      </c>
      <c r="K8" s="344" t="str">
        <f>IF(B8="AEAT (Oficina Nacional de Gestión Tributaria)","--&gt;","")</f>
        <v/>
      </c>
      <c r="L8" s="345" t="str">
        <f>IF(B8="AEAT (Oficina Nacional de Gestión Tributaria)","901 33 55 33  /  91 554 87 70","")</f>
        <v/>
      </c>
    </row>
    <row r="9" spans="2:16" ht="15.75" customHeight="1" x14ac:dyDescent="0.25">
      <c r="B9" s="252"/>
      <c r="C9" s="252"/>
      <c r="D9" s="252"/>
      <c r="H9" s="234" t="str">
        <f>CONCATENATE(F4,F4,F7)</f>
        <v>NO Residente en EspañaNO Residente en EspañaEspaña</v>
      </c>
      <c r="I9" s="229" t="s">
        <v>981</v>
      </c>
      <c r="J9" s="228" t="s">
        <v>984</v>
      </c>
      <c r="K9" s="346"/>
      <c r="L9" s="347"/>
    </row>
    <row r="10" spans="2:16" ht="15.75" customHeight="1" x14ac:dyDescent="0.25">
      <c r="H10" s="234" t="str">
        <f>CONCATENATE(F4,F4,F8)</f>
        <v>NO Residente en EspañaNO Residente en EspañaFuera de España</v>
      </c>
      <c r="I10" s="229" t="s">
        <v>987</v>
      </c>
      <c r="J10" s="228" t="s">
        <v>988</v>
      </c>
      <c r="K10" s="228"/>
    </row>
    <row r="11" spans="2:16" ht="22.5" customHeight="1" x14ac:dyDescent="0.25">
      <c r="B11" s="250" t="s">
        <v>989</v>
      </c>
      <c r="C11" s="250"/>
      <c r="D11" s="250"/>
      <c r="K11" s="228"/>
    </row>
    <row r="12" spans="2:16" ht="15.75" customHeight="1" x14ac:dyDescent="0.25">
      <c r="B12" s="253" t="str">
        <f>IF(ISERROR(VLOOKUP(H24,H3:J20,3,0)),"",VLOOKUP(H24,H3:J20,3,0))</f>
        <v>Tributa en España, por el valor de los bienes situados en todo el mundo, y con la normativa de la Comunidad Autónoma en la que residía el fallecido (CAUSANTE)</v>
      </c>
      <c r="C12" s="254"/>
      <c r="D12" s="254"/>
      <c r="K12" s="228"/>
    </row>
    <row r="13" spans="2:16" ht="15.75" customHeight="1" x14ac:dyDescent="0.25">
      <c r="B13" s="254"/>
      <c r="C13" s="254"/>
      <c r="D13" s="254"/>
      <c r="K13" s="228"/>
    </row>
    <row r="14" spans="2:16" ht="15.75" customHeight="1" x14ac:dyDescent="0.25">
      <c r="B14" s="254"/>
      <c r="C14" s="254"/>
      <c r="D14" s="254"/>
      <c r="E14" s="229"/>
      <c r="K14" s="228"/>
    </row>
    <row r="15" spans="2:16" ht="15.75" customHeight="1" x14ac:dyDescent="0.25">
      <c r="K15" s="228"/>
    </row>
    <row r="16" spans="2:16" ht="22.5" customHeight="1" x14ac:dyDescent="0.25">
      <c r="B16" s="255" t="s">
        <v>122</v>
      </c>
      <c r="C16" s="255"/>
      <c r="D16" s="255"/>
      <c r="K16" s="244" t="s">
        <v>990</v>
      </c>
      <c r="L16" s="245"/>
      <c r="M16" s="245"/>
      <c r="N16" s="246"/>
      <c r="O16" s="246"/>
      <c r="P16" s="247"/>
    </row>
    <row r="17" spans="2:16" ht="15.75" customHeight="1" x14ac:dyDescent="0.25">
      <c r="B17" s="266" t="s">
        <v>991</v>
      </c>
      <c r="C17" s="267"/>
      <c r="D17" s="268"/>
      <c r="K17" s="235"/>
      <c r="L17" s="236"/>
      <c r="M17" s="236"/>
      <c r="N17" s="236"/>
      <c r="O17" s="236"/>
      <c r="P17" s="237"/>
    </row>
    <row r="18" spans="2:16" ht="15.75" customHeight="1" x14ac:dyDescent="0.25">
      <c r="B18" s="269" t="s">
        <v>992</v>
      </c>
      <c r="C18" s="270"/>
      <c r="D18" s="271"/>
      <c r="K18" s="235"/>
      <c r="L18" s="236"/>
      <c r="M18" s="236"/>
      <c r="N18" s="236"/>
      <c r="O18" s="236"/>
      <c r="P18" s="237"/>
    </row>
    <row r="19" spans="2:16" ht="15.75" customHeight="1" x14ac:dyDescent="0.25">
      <c r="B19" s="272" t="s">
        <v>993</v>
      </c>
      <c r="C19" s="273"/>
      <c r="D19" s="274"/>
      <c r="K19" s="235"/>
      <c r="L19" s="236"/>
      <c r="M19" s="236"/>
      <c r="N19" s="236"/>
      <c r="O19" s="236"/>
      <c r="P19" s="237"/>
    </row>
    <row r="20" spans="2:16" ht="15.75" customHeight="1" x14ac:dyDescent="0.25">
      <c r="K20" s="235"/>
      <c r="L20" s="236"/>
      <c r="M20" s="236"/>
      <c r="N20" s="236"/>
      <c r="O20" s="236"/>
      <c r="P20" s="237"/>
    </row>
    <row r="21" spans="2:16" ht="22.5" customHeight="1" x14ac:dyDescent="0.25">
      <c r="B21" s="275" t="s">
        <v>994</v>
      </c>
      <c r="C21" s="275"/>
      <c r="D21" s="275"/>
      <c r="K21" s="235"/>
      <c r="L21" s="236"/>
      <c r="M21" s="236"/>
      <c r="N21" s="236"/>
      <c r="O21" s="236"/>
      <c r="P21" s="237"/>
    </row>
    <row r="22" spans="2:16" ht="15.75" customHeight="1" x14ac:dyDescent="0.25">
      <c r="B22" s="276" t="s">
        <v>995</v>
      </c>
      <c r="C22" s="277"/>
      <c r="D22" s="277"/>
      <c r="K22" s="235"/>
      <c r="L22" s="236"/>
      <c r="M22" s="236"/>
      <c r="N22" s="236"/>
      <c r="O22" s="236"/>
      <c r="P22" s="237"/>
    </row>
    <row r="23" spans="2:16" ht="15.75" customHeight="1" x14ac:dyDescent="0.25">
      <c r="B23" s="277"/>
      <c r="C23" s="277"/>
      <c r="D23" s="277"/>
      <c r="H23" s="228" t="s">
        <v>996</v>
      </c>
      <c r="K23" s="235"/>
      <c r="L23" s="236"/>
      <c r="M23" s="236"/>
      <c r="N23" s="236"/>
      <c r="O23" s="236"/>
      <c r="P23" s="237"/>
    </row>
    <row r="24" spans="2:16" ht="15.75" customHeight="1" x14ac:dyDescent="0.25">
      <c r="B24" s="262" t="s">
        <v>997</v>
      </c>
      <c r="C24" s="263"/>
      <c r="D24" s="264"/>
      <c r="H24" s="228" t="str">
        <f>CONCATENATE(B4,D4,C4)</f>
        <v>Residente en EspañaResidente en EspañaEspaña</v>
      </c>
      <c r="K24" s="235"/>
      <c r="L24" s="236"/>
      <c r="M24" s="236"/>
      <c r="N24" s="236"/>
      <c r="O24" s="236"/>
      <c r="P24" s="237"/>
    </row>
    <row r="25" spans="2:16" ht="15.75" customHeight="1" x14ac:dyDescent="0.25">
      <c r="B25" s="265"/>
      <c r="C25" s="257"/>
      <c r="D25" s="258"/>
      <c r="K25" s="235"/>
      <c r="L25" s="236"/>
      <c r="M25" s="236"/>
      <c r="N25" s="236"/>
      <c r="O25" s="236"/>
      <c r="P25" s="237"/>
    </row>
    <row r="26" spans="2:16" ht="15.75" customHeight="1" x14ac:dyDescent="0.25">
      <c r="B26" s="265"/>
      <c r="C26" s="257"/>
      <c r="D26" s="258"/>
      <c r="K26" s="235"/>
      <c r="L26" s="236"/>
      <c r="M26" s="236"/>
      <c r="N26" s="236"/>
      <c r="O26" s="236"/>
      <c r="P26" s="237"/>
    </row>
    <row r="27" spans="2:16" ht="15.75" customHeight="1" x14ac:dyDescent="0.25">
      <c r="B27" s="256" t="s">
        <v>998</v>
      </c>
      <c r="C27" s="257"/>
      <c r="D27" s="258"/>
      <c r="K27" s="235"/>
      <c r="L27" s="236"/>
      <c r="M27" s="236"/>
      <c r="N27" s="236"/>
      <c r="O27" s="236"/>
      <c r="P27" s="237"/>
    </row>
    <row r="28" spans="2:16" ht="15.75" customHeight="1" x14ac:dyDescent="0.25">
      <c r="B28" s="259"/>
      <c r="C28" s="260"/>
      <c r="D28" s="261"/>
      <c r="K28" s="235"/>
      <c r="L28" s="236"/>
      <c r="M28" s="236"/>
      <c r="N28" s="236"/>
      <c r="O28" s="236"/>
      <c r="P28" s="237"/>
    </row>
    <row r="29" spans="2:16" ht="15.75" customHeight="1" x14ac:dyDescent="0.25">
      <c r="B29" s="262" t="s">
        <v>999</v>
      </c>
      <c r="C29" s="263"/>
      <c r="D29" s="264"/>
      <c r="K29" s="235"/>
      <c r="L29" s="236"/>
      <c r="M29" s="236"/>
      <c r="N29" s="236"/>
      <c r="O29" s="236"/>
      <c r="P29" s="237"/>
    </row>
    <row r="30" spans="2:16" ht="15.75" customHeight="1" x14ac:dyDescent="0.25">
      <c r="B30" s="265"/>
      <c r="C30" s="257"/>
      <c r="D30" s="258"/>
      <c r="H30" s="228" t="s">
        <v>981</v>
      </c>
      <c r="K30" s="235"/>
      <c r="L30" s="236"/>
      <c r="M30" s="236"/>
      <c r="N30" s="236"/>
      <c r="O30" s="236"/>
      <c r="P30" s="237"/>
    </row>
    <row r="31" spans="2:16" ht="15.75" customHeight="1" x14ac:dyDescent="0.25">
      <c r="B31" s="259"/>
      <c r="C31" s="260"/>
      <c r="D31" s="261"/>
      <c r="H31" s="228" t="s">
        <v>1000</v>
      </c>
      <c r="K31" s="238"/>
      <c r="L31" s="239"/>
      <c r="M31" s="239"/>
      <c r="N31" s="239"/>
      <c r="O31" s="239"/>
      <c r="P31" s="240"/>
    </row>
    <row r="32" spans="2:16" ht="15.75" customHeight="1" x14ac:dyDescent="0.25">
      <c r="H32" s="228" t="s">
        <v>1001</v>
      </c>
    </row>
  </sheetData>
  <sheetProtection sheet="1" selectLockedCells="1"/>
  <mergeCells count="22">
    <mergeCell ref="B27:D28"/>
    <mergeCell ref="B29:D31"/>
    <mergeCell ref="B17:D17"/>
    <mergeCell ref="B18:D18"/>
    <mergeCell ref="B19:D19"/>
    <mergeCell ref="B21:D21"/>
    <mergeCell ref="B22:D23"/>
    <mergeCell ref="B24:D26"/>
    <mergeCell ref="K16:P16"/>
    <mergeCell ref="B2:B3"/>
    <mergeCell ref="C2:C3"/>
    <mergeCell ref="D2:D3"/>
    <mergeCell ref="B4:B5"/>
    <mergeCell ref="C4:C5"/>
    <mergeCell ref="D4:D5"/>
    <mergeCell ref="B7:D7"/>
    <mergeCell ref="B8:D9"/>
    <mergeCell ref="B11:D11"/>
    <mergeCell ref="B12:D14"/>
    <mergeCell ref="B16:D16"/>
    <mergeCell ref="L8:L9"/>
    <mergeCell ref="K8:K9"/>
  </mergeCells>
  <conditionalFormatting sqref="B7:D7 B11:D11">
    <cfRule type="expression" dxfId="58" priority="2">
      <formula>IF($B$8="-",TRUE,FALSE)</formula>
    </cfRule>
    <cfRule type="expression" dxfId="57" priority="4">
      <formula>IF($B$8="AEAT (Oficina Nacional de Gestión Tributaria)",TRUE,FALSE)</formula>
    </cfRule>
  </conditionalFormatting>
  <conditionalFormatting sqref="B8:D9 B12:D14">
    <cfRule type="expression" dxfId="56" priority="1">
      <formula>IF($B$8="-",TRUE,FALSE)</formula>
    </cfRule>
    <cfRule type="expression" dxfId="55" priority="3">
      <formula>IF($B$8="AEAT (Oficina Nacional de Gestión Tributaria)",TRUE,FALSE)</formula>
    </cfRule>
  </conditionalFormatting>
  <dataValidations count="2">
    <dataValidation type="list" allowBlank="1" showInputMessage="1" showErrorMessage="1" sqref="B4:B5 D4:D5">
      <formula1>$F$3:$F$4</formula1>
    </dataValidation>
    <dataValidation type="list" allowBlank="1" showInputMessage="1" showErrorMessage="1" sqref="C4:C5">
      <formula1>$F$7:$F$8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S33"/>
  <sheetViews>
    <sheetView workbookViewId="0">
      <selection activeCell="H7" sqref="H7"/>
    </sheetView>
  </sheetViews>
  <sheetFormatPr baseColWidth="10" defaultRowHeight="15.75" customHeight="1" x14ac:dyDescent="0.25"/>
  <cols>
    <col min="1" max="1" width="3.5703125" style="186" customWidth="1"/>
    <col min="2" max="2" width="4.28515625" style="163" customWidth="1"/>
    <col min="3" max="4" width="7.85546875" style="163" customWidth="1"/>
    <col min="5" max="5" width="35.7109375" style="167" customWidth="1"/>
    <col min="6" max="6" width="8.5703125" style="163" customWidth="1"/>
    <col min="7" max="7" width="20" style="169" customWidth="1"/>
    <col min="8" max="8" width="10.7109375" style="172" customWidth="1"/>
    <col min="9" max="9" width="20" style="169" customWidth="1"/>
    <col min="10" max="10" width="4.5703125" style="167" customWidth="1"/>
    <col min="11" max="11" width="28.7109375" style="167" customWidth="1"/>
    <col min="12" max="12" width="4.5703125" style="168" customWidth="1"/>
    <col min="13" max="14" width="7.85546875" style="163" customWidth="1"/>
    <col min="15" max="15" width="160.7109375" style="167" customWidth="1"/>
    <col min="16" max="16" width="11.42578125" style="167"/>
    <col min="17" max="18" width="0" style="167" hidden="1" customWidth="1"/>
    <col min="19" max="19" width="13" style="167" hidden="1" customWidth="1"/>
    <col min="20" max="16384" width="11.42578125" style="167"/>
  </cols>
  <sheetData>
    <row r="2" spans="1:19" ht="15.75" customHeight="1" x14ac:dyDescent="0.25">
      <c r="B2" s="164" t="s">
        <v>413</v>
      </c>
      <c r="C2" s="164" t="s">
        <v>402</v>
      </c>
      <c r="D2" s="164" t="s">
        <v>404</v>
      </c>
      <c r="E2" s="164" t="s">
        <v>405</v>
      </c>
      <c r="F2" s="164" t="s">
        <v>409</v>
      </c>
      <c r="G2" s="170" t="s">
        <v>406</v>
      </c>
      <c r="H2" s="173" t="s">
        <v>408</v>
      </c>
      <c r="I2" s="170" t="s">
        <v>407</v>
      </c>
      <c r="M2" s="176" t="s">
        <v>402</v>
      </c>
      <c r="N2" s="176" t="s">
        <v>386</v>
      </c>
      <c r="O2" s="176" t="s">
        <v>405</v>
      </c>
      <c r="Q2" s="176" t="s">
        <v>402</v>
      </c>
      <c r="S2" s="176" t="s">
        <v>412</v>
      </c>
    </row>
    <row r="3" spans="1:19" ht="15.75" customHeight="1" x14ac:dyDescent="0.25">
      <c r="A3" s="186">
        <f>IF(G3*H3=0,"",1)</f>
        <v>1</v>
      </c>
      <c r="B3" s="193">
        <f>IF(G3*H3=0,"",1)</f>
        <v>1</v>
      </c>
      <c r="C3" s="66"/>
      <c r="D3" s="165" t="str">
        <f>IF(ISBLANK(C3),"",VLOOKUP(C3,$M$3:$O$29,2,0))</f>
        <v/>
      </c>
      <c r="E3" s="181" t="s">
        <v>1003</v>
      </c>
      <c r="F3" s="66" t="s">
        <v>156</v>
      </c>
      <c r="G3" s="187">
        <v>200000</v>
      </c>
      <c r="H3" s="67">
        <v>0.5</v>
      </c>
      <c r="I3" s="195">
        <f>IF(G3*H3=0,"",G3*H3)</f>
        <v>100000</v>
      </c>
      <c r="M3" s="164" t="s">
        <v>362</v>
      </c>
      <c r="N3" s="185">
        <v>2</v>
      </c>
      <c r="O3" s="190" t="s">
        <v>414</v>
      </c>
      <c r="Q3" s="180" t="s">
        <v>362</v>
      </c>
      <c r="S3" s="169">
        <f>IF(F3="SÍ",I3,0)</f>
        <v>100000</v>
      </c>
    </row>
    <row r="4" spans="1:19" ht="15.75" customHeight="1" x14ac:dyDescent="0.25">
      <c r="A4" s="186">
        <f t="shared" ref="A4:A32" si="0">IF(G4*H4=0,"",1)</f>
        <v>1</v>
      </c>
      <c r="B4" s="194">
        <f>IF(G4*H4=0,"",SUM(A3)+1)</f>
        <v>2</v>
      </c>
      <c r="C4" s="183"/>
      <c r="D4" s="166" t="str">
        <f t="shared" ref="D4:D30" si="1">IF(ISBLANK(C4),"",VLOOKUP(C4,$M$3:$O$29,2,0))</f>
        <v/>
      </c>
      <c r="E4" s="182" t="s">
        <v>1007</v>
      </c>
      <c r="F4" s="183"/>
      <c r="G4" s="188">
        <v>50000</v>
      </c>
      <c r="H4" s="189">
        <v>1</v>
      </c>
      <c r="I4" s="196">
        <f t="shared" ref="I4:I30" si="2">IF(G4*H4=0,"",G4*H4)</f>
        <v>50000</v>
      </c>
      <c r="M4" s="164" t="s">
        <v>363</v>
      </c>
      <c r="N4" s="185">
        <v>3</v>
      </c>
      <c r="O4" s="190" t="s">
        <v>415</v>
      </c>
      <c r="Q4" s="180" t="s">
        <v>363</v>
      </c>
      <c r="S4" s="169">
        <f t="shared" ref="S4:S30" si="3">IF(F4="SÍ",I4,0)</f>
        <v>0</v>
      </c>
    </row>
    <row r="5" spans="1:19" ht="15.75" customHeight="1" x14ac:dyDescent="0.25">
      <c r="A5" s="186">
        <f t="shared" si="0"/>
        <v>1</v>
      </c>
      <c r="B5" s="193">
        <f>IF(G5*H5=0,"",SUM($A$3:A4)+1)</f>
        <v>3</v>
      </c>
      <c r="C5" s="66"/>
      <c r="D5" s="165" t="str">
        <f t="shared" si="1"/>
        <v/>
      </c>
      <c r="E5" s="181" t="s">
        <v>969</v>
      </c>
      <c r="F5" s="66"/>
      <c r="G5" s="187">
        <v>20000</v>
      </c>
      <c r="H5" s="67">
        <v>0.5</v>
      </c>
      <c r="I5" s="195">
        <f t="shared" si="2"/>
        <v>10000</v>
      </c>
      <c r="M5" s="164" t="s">
        <v>364</v>
      </c>
      <c r="N5" s="185">
        <v>3</v>
      </c>
      <c r="O5" s="190" t="s">
        <v>365</v>
      </c>
      <c r="Q5" s="180" t="s">
        <v>364</v>
      </c>
      <c r="S5" s="169">
        <f t="shared" si="3"/>
        <v>0</v>
      </c>
    </row>
    <row r="6" spans="1:19" ht="15.75" customHeight="1" x14ac:dyDescent="0.25">
      <c r="A6" s="186">
        <f t="shared" si="0"/>
        <v>1</v>
      </c>
      <c r="B6" s="194">
        <f>IF(G6*H6=0,"",SUM($A$3:A5)+1)</f>
        <v>4</v>
      </c>
      <c r="C6" s="183"/>
      <c r="D6" s="166" t="str">
        <f t="shared" si="1"/>
        <v/>
      </c>
      <c r="E6" s="182" t="s">
        <v>1008</v>
      </c>
      <c r="F6" s="183"/>
      <c r="G6" s="188">
        <v>400000</v>
      </c>
      <c r="H6" s="189">
        <v>1</v>
      </c>
      <c r="I6" s="196">
        <f t="shared" si="2"/>
        <v>400000</v>
      </c>
      <c r="M6" s="164" t="s">
        <v>366</v>
      </c>
      <c r="N6" s="185">
        <v>4</v>
      </c>
      <c r="O6" s="190" t="s">
        <v>416</v>
      </c>
      <c r="Q6" s="180" t="s">
        <v>366</v>
      </c>
      <c r="S6" s="169">
        <f t="shared" si="3"/>
        <v>0</v>
      </c>
    </row>
    <row r="7" spans="1:19" ht="15.75" customHeight="1" x14ac:dyDescent="0.25">
      <c r="A7" s="186" t="str">
        <f t="shared" si="0"/>
        <v/>
      </c>
      <c r="B7" s="193" t="str">
        <f>IF(G7*H7=0,"",SUM($A$3:A6)+1)</f>
        <v/>
      </c>
      <c r="C7" s="66"/>
      <c r="D7" s="165" t="str">
        <f t="shared" si="1"/>
        <v/>
      </c>
      <c r="E7" s="181"/>
      <c r="F7" s="66"/>
      <c r="G7" s="187"/>
      <c r="H7" s="67"/>
      <c r="I7" s="195" t="str">
        <f t="shared" si="2"/>
        <v/>
      </c>
      <c r="M7" s="164" t="s">
        <v>367</v>
      </c>
      <c r="N7" s="185">
        <v>4</v>
      </c>
      <c r="O7" s="190" t="s">
        <v>417</v>
      </c>
      <c r="Q7" s="180" t="s">
        <v>367</v>
      </c>
      <c r="S7" s="169">
        <f t="shared" si="3"/>
        <v>0</v>
      </c>
    </row>
    <row r="8" spans="1:19" ht="15.75" customHeight="1" x14ac:dyDescent="0.25">
      <c r="A8" s="186" t="str">
        <f t="shared" si="0"/>
        <v/>
      </c>
      <c r="B8" s="194" t="str">
        <f>IF(G8*H8=0,"",SUM($A$3:A7)+1)</f>
        <v/>
      </c>
      <c r="C8" s="183"/>
      <c r="D8" s="166" t="str">
        <f t="shared" si="1"/>
        <v/>
      </c>
      <c r="E8" s="182"/>
      <c r="F8" s="183"/>
      <c r="G8" s="188"/>
      <c r="H8" s="189"/>
      <c r="I8" s="196" t="str">
        <f t="shared" si="2"/>
        <v/>
      </c>
      <c r="M8" s="164" t="s">
        <v>368</v>
      </c>
      <c r="N8" s="185">
        <v>5</v>
      </c>
      <c r="O8" s="190" t="s">
        <v>369</v>
      </c>
      <c r="Q8" s="180" t="s">
        <v>368</v>
      </c>
      <c r="S8" s="169">
        <f t="shared" si="3"/>
        <v>0</v>
      </c>
    </row>
    <row r="9" spans="1:19" ht="15.75" customHeight="1" x14ac:dyDescent="0.25">
      <c r="A9" s="186" t="str">
        <f t="shared" si="0"/>
        <v/>
      </c>
      <c r="B9" s="193" t="str">
        <f>IF(G9*H9=0,"",SUM($A$3:A8)+1)</f>
        <v/>
      </c>
      <c r="C9" s="66"/>
      <c r="D9" s="165" t="str">
        <f t="shared" si="1"/>
        <v/>
      </c>
      <c r="E9" s="181"/>
      <c r="F9" s="66"/>
      <c r="G9" s="187"/>
      <c r="H9" s="67"/>
      <c r="I9" s="195" t="str">
        <f t="shared" si="2"/>
        <v/>
      </c>
      <c r="M9" s="164" t="s">
        <v>370</v>
      </c>
      <c r="N9" s="185">
        <v>5</v>
      </c>
      <c r="O9" s="190" t="s">
        <v>418</v>
      </c>
      <c r="Q9" s="180" t="s">
        <v>370</v>
      </c>
      <c r="S9" s="169">
        <f t="shared" si="3"/>
        <v>0</v>
      </c>
    </row>
    <row r="10" spans="1:19" ht="15.75" customHeight="1" x14ac:dyDescent="0.25">
      <c r="A10" s="186" t="str">
        <f t="shared" si="0"/>
        <v/>
      </c>
      <c r="B10" s="194" t="str">
        <f>IF(G10*H10=0,"",SUM($A$3:A9)+1)</f>
        <v/>
      </c>
      <c r="C10" s="183"/>
      <c r="D10" s="166" t="str">
        <f t="shared" si="1"/>
        <v/>
      </c>
      <c r="E10" s="182"/>
      <c r="F10" s="183"/>
      <c r="G10" s="188"/>
      <c r="H10" s="189"/>
      <c r="I10" s="196" t="str">
        <f t="shared" si="2"/>
        <v/>
      </c>
      <c r="M10" s="164" t="s">
        <v>371</v>
      </c>
      <c r="N10" s="185">
        <v>6</v>
      </c>
      <c r="O10" s="190" t="s">
        <v>372</v>
      </c>
      <c r="Q10" s="180" t="s">
        <v>371</v>
      </c>
      <c r="S10" s="169">
        <f t="shared" si="3"/>
        <v>0</v>
      </c>
    </row>
    <row r="11" spans="1:19" ht="15.75" customHeight="1" x14ac:dyDescent="0.25">
      <c r="A11" s="186" t="str">
        <f t="shared" si="0"/>
        <v/>
      </c>
      <c r="B11" s="193" t="str">
        <f>IF(G11*H11=0,"",SUM($A$3:A10)+1)</f>
        <v/>
      </c>
      <c r="C11" s="66"/>
      <c r="D11" s="165" t="str">
        <f t="shared" si="1"/>
        <v/>
      </c>
      <c r="E11" s="181"/>
      <c r="F11" s="66"/>
      <c r="G11" s="187"/>
      <c r="H11" s="67"/>
      <c r="I11" s="195" t="str">
        <f t="shared" si="2"/>
        <v/>
      </c>
      <c r="M11" s="164" t="s">
        <v>374</v>
      </c>
      <c r="N11" s="185">
        <v>6</v>
      </c>
      <c r="O11" s="190" t="s">
        <v>373</v>
      </c>
      <c r="Q11" s="180" t="s">
        <v>374</v>
      </c>
      <c r="S11" s="169">
        <f t="shared" si="3"/>
        <v>0</v>
      </c>
    </row>
    <row r="12" spans="1:19" ht="15.75" customHeight="1" x14ac:dyDescent="0.25">
      <c r="A12" s="186" t="str">
        <f t="shared" si="0"/>
        <v/>
      </c>
      <c r="B12" s="194" t="str">
        <f>IF(G12*H12=0,"",SUM($A$3:A11)+1)</f>
        <v/>
      </c>
      <c r="C12" s="183"/>
      <c r="D12" s="166" t="str">
        <f t="shared" si="1"/>
        <v/>
      </c>
      <c r="E12" s="182"/>
      <c r="F12" s="183"/>
      <c r="G12" s="188"/>
      <c r="H12" s="189"/>
      <c r="I12" s="196" t="str">
        <f t="shared" si="2"/>
        <v/>
      </c>
      <c r="M12" s="164" t="s">
        <v>375</v>
      </c>
      <c r="N12" s="185">
        <v>7</v>
      </c>
      <c r="O12" s="190" t="s">
        <v>376</v>
      </c>
      <c r="Q12" s="180" t="s">
        <v>375</v>
      </c>
      <c r="S12" s="169">
        <f t="shared" si="3"/>
        <v>0</v>
      </c>
    </row>
    <row r="13" spans="1:19" ht="15.75" customHeight="1" x14ac:dyDescent="0.25">
      <c r="A13" s="186" t="str">
        <f t="shared" si="0"/>
        <v/>
      </c>
      <c r="B13" s="193" t="str">
        <f>IF(G13*H13=0,"",SUM($A$3:A12)+1)</f>
        <v/>
      </c>
      <c r="C13" s="66"/>
      <c r="D13" s="165" t="str">
        <f t="shared" si="1"/>
        <v/>
      </c>
      <c r="E13" s="181"/>
      <c r="F13" s="66"/>
      <c r="G13" s="187"/>
      <c r="H13" s="67"/>
      <c r="I13" s="195" t="str">
        <f t="shared" si="2"/>
        <v/>
      </c>
      <c r="M13" s="164" t="s">
        <v>377</v>
      </c>
      <c r="N13" s="185">
        <v>7</v>
      </c>
      <c r="O13" s="190" t="s">
        <v>378</v>
      </c>
      <c r="Q13" s="180" t="s">
        <v>377</v>
      </c>
      <c r="S13" s="169">
        <f t="shared" si="3"/>
        <v>0</v>
      </c>
    </row>
    <row r="14" spans="1:19" ht="15.75" customHeight="1" x14ac:dyDescent="0.25">
      <c r="A14" s="186" t="str">
        <f t="shared" si="0"/>
        <v/>
      </c>
      <c r="B14" s="194" t="str">
        <f>IF(G14*H14=0,"",SUM($A$3:A13)+1)</f>
        <v/>
      </c>
      <c r="C14" s="183"/>
      <c r="D14" s="166" t="str">
        <f t="shared" si="1"/>
        <v/>
      </c>
      <c r="E14" s="182"/>
      <c r="F14" s="183"/>
      <c r="G14" s="188"/>
      <c r="H14" s="189"/>
      <c r="I14" s="196" t="str">
        <f t="shared" si="2"/>
        <v/>
      </c>
      <c r="M14" s="164" t="s">
        <v>379</v>
      </c>
      <c r="N14" s="185">
        <v>8</v>
      </c>
      <c r="O14" s="190" t="s">
        <v>419</v>
      </c>
      <c r="Q14" s="180" t="s">
        <v>379</v>
      </c>
      <c r="S14" s="169">
        <f t="shared" si="3"/>
        <v>0</v>
      </c>
    </row>
    <row r="15" spans="1:19" ht="15.75" customHeight="1" thickBot="1" x14ac:dyDescent="0.3">
      <c r="A15" s="186" t="str">
        <f t="shared" si="0"/>
        <v/>
      </c>
      <c r="B15" s="193" t="str">
        <f>IF(G15*H15=0,"",SUM($A$3:A14)+1)</f>
        <v/>
      </c>
      <c r="C15" s="66"/>
      <c r="D15" s="165" t="str">
        <f t="shared" si="1"/>
        <v/>
      </c>
      <c r="E15" s="181"/>
      <c r="F15" s="66"/>
      <c r="G15" s="187"/>
      <c r="H15" s="67"/>
      <c r="I15" s="195" t="str">
        <f t="shared" si="2"/>
        <v/>
      </c>
      <c r="L15" s="167"/>
      <c r="M15" s="164" t="s">
        <v>380</v>
      </c>
      <c r="N15" s="185">
        <v>8</v>
      </c>
      <c r="O15" s="190" t="s">
        <v>420</v>
      </c>
      <c r="Q15" s="180" t="s">
        <v>380</v>
      </c>
      <c r="S15" s="169">
        <f t="shared" si="3"/>
        <v>0</v>
      </c>
    </row>
    <row r="16" spans="1:19" ht="15.75" customHeight="1" thickBot="1" x14ac:dyDescent="0.3">
      <c r="A16" s="186" t="str">
        <f t="shared" si="0"/>
        <v/>
      </c>
      <c r="B16" s="194" t="str">
        <f>IF(G16*H16=0,"",SUM($A$3:A15)+1)</f>
        <v/>
      </c>
      <c r="C16" s="183"/>
      <c r="D16" s="166" t="str">
        <f t="shared" si="1"/>
        <v/>
      </c>
      <c r="E16" s="182"/>
      <c r="F16" s="183"/>
      <c r="G16" s="188"/>
      <c r="H16" s="189"/>
      <c r="I16" s="196" t="str">
        <f t="shared" si="2"/>
        <v/>
      </c>
      <c r="L16" s="175">
        <v>1</v>
      </c>
      <c r="M16" s="177"/>
      <c r="N16" s="178">
        <v>8</v>
      </c>
      <c r="O16" s="191" t="s">
        <v>403</v>
      </c>
      <c r="Q16" s="180" t="s">
        <v>381</v>
      </c>
      <c r="S16" s="169">
        <f t="shared" si="3"/>
        <v>0</v>
      </c>
    </row>
    <row r="17" spans="1:19" ht="15.75" customHeight="1" thickBot="1" x14ac:dyDescent="0.3">
      <c r="A17" s="186" t="str">
        <f t="shared" si="0"/>
        <v/>
      </c>
      <c r="B17" s="193" t="str">
        <f>IF(G17*H17=0,"",SUM($A$3:A16)+1)</f>
        <v/>
      </c>
      <c r="C17" s="66"/>
      <c r="D17" s="165" t="str">
        <f t="shared" si="1"/>
        <v/>
      </c>
      <c r="E17" s="181"/>
      <c r="F17" s="66"/>
      <c r="G17" s="187"/>
      <c r="H17" s="67"/>
      <c r="I17" s="195" t="str">
        <f t="shared" si="2"/>
        <v/>
      </c>
      <c r="L17" s="175">
        <v>2</v>
      </c>
      <c r="M17" s="164" t="s">
        <v>381</v>
      </c>
      <c r="N17" s="185">
        <v>8</v>
      </c>
      <c r="O17" s="190" t="s">
        <v>382</v>
      </c>
      <c r="Q17" s="180" t="s">
        <v>383</v>
      </c>
      <c r="S17" s="169">
        <f t="shared" si="3"/>
        <v>0</v>
      </c>
    </row>
    <row r="18" spans="1:19" ht="15.75" customHeight="1" thickBot="1" x14ac:dyDescent="0.3">
      <c r="A18" s="186" t="str">
        <f t="shared" si="0"/>
        <v/>
      </c>
      <c r="B18" s="194" t="str">
        <f>IF(G18*H18=0,"",SUM($A$3:A17)+1)</f>
        <v/>
      </c>
      <c r="C18" s="183"/>
      <c r="D18" s="166" t="str">
        <f t="shared" si="1"/>
        <v/>
      </c>
      <c r="E18" s="182"/>
      <c r="F18" s="183"/>
      <c r="G18" s="188"/>
      <c r="H18" s="189"/>
      <c r="I18" s="196" t="str">
        <f t="shared" si="2"/>
        <v/>
      </c>
      <c r="L18" s="175">
        <v>3</v>
      </c>
      <c r="M18" s="164" t="s">
        <v>383</v>
      </c>
      <c r="N18" s="185">
        <v>9</v>
      </c>
      <c r="O18" s="190" t="s">
        <v>384</v>
      </c>
      <c r="Q18" s="180" t="s">
        <v>385</v>
      </c>
      <c r="S18" s="169">
        <f t="shared" si="3"/>
        <v>0</v>
      </c>
    </row>
    <row r="19" spans="1:19" ht="15.75" customHeight="1" thickBot="1" x14ac:dyDescent="0.3">
      <c r="A19" s="186" t="str">
        <f t="shared" si="0"/>
        <v/>
      </c>
      <c r="B19" s="193" t="str">
        <f>IF(G19*H19=0,"",SUM($A$3:A18)+1)</f>
        <v/>
      </c>
      <c r="C19" s="66"/>
      <c r="D19" s="165" t="str">
        <f t="shared" si="1"/>
        <v/>
      </c>
      <c r="E19" s="181"/>
      <c r="F19" s="66"/>
      <c r="G19" s="187"/>
      <c r="H19" s="67"/>
      <c r="I19" s="195" t="str">
        <f t="shared" si="2"/>
        <v/>
      </c>
      <c r="L19" s="175">
        <v>5</v>
      </c>
      <c r="M19" s="164" t="s">
        <v>385</v>
      </c>
      <c r="N19" s="185">
        <v>9</v>
      </c>
      <c r="O19" s="190" t="s">
        <v>31</v>
      </c>
      <c r="Q19" s="180" t="s">
        <v>387</v>
      </c>
      <c r="S19" s="169">
        <f t="shared" si="3"/>
        <v>0</v>
      </c>
    </row>
    <row r="20" spans="1:19" ht="15.75" customHeight="1" thickBot="1" x14ac:dyDescent="0.3">
      <c r="A20" s="186" t="str">
        <f t="shared" si="0"/>
        <v/>
      </c>
      <c r="B20" s="194" t="str">
        <f>IF(G20*H20=0,"",SUM($A$3:A19)+1)</f>
        <v/>
      </c>
      <c r="C20" s="183"/>
      <c r="D20" s="166" t="str">
        <f t="shared" si="1"/>
        <v/>
      </c>
      <c r="E20" s="182"/>
      <c r="F20" s="183"/>
      <c r="G20" s="188"/>
      <c r="H20" s="189"/>
      <c r="I20" s="196" t="str">
        <f t="shared" si="2"/>
        <v/>
      </c>
      <c r="L20" s="175">
        <v>7</v>
      </c>
      <c r="M20" s="164" t="s">
        <v>387</v>
      </c>
      <c r="N20" s="185">
        <v>9</v>
      </c>
      <c r="O20" s="190" t="s">
        <v>388</v>
      </c>
      <c r="Q20" s="180" t="s">
        <v>389</v>
      </c>
      <c r="S20" s="169">
        <f t="shared" si="3"/>
        <v>0</v>
      </c>
    </row>
    <row r="21" spans="1:19" ht="15.75" customHeight="1" thickBot="1" x14ac:dyDescent="0.3">
      <c r="A21" s="186" t="str">
        <f t="shared" si="0"/>
        <v/>
      </c>
      <c r="B21" s="193" t="str">
        <f>IF(G21*H21=0,"",SUM($A$3:A20)+1)</f>
        <v/>
      </c>
      <c r="C21" s="66"/>
      <c r="D21" s="165" t="str">
        <f t="shared" si="1"/>
        <v/>
      </c>
      <c r="E21" s="181"/>
      <c r="F21" s="66"/>
      <c r="G21" s="187"/>
      <c r="H21" s="67"/>
      <c r="I21" s="195" t="str">
        <f t="shared" si="2"/>
        <v/>
      </c>
      <c r="L21" s="175">
        <v>8</v>
      </c>
      <c r="M21" s="164" t="s">
        <v>389</v>
      </c>
      <c r="N21" s="185">
        <v>9</v>
      </c>
      <c r="O21" s="190" t="s">
        <v>49</v>
      </c>
      <c r="Q21" s="180" t="s">
        <v>390</v>
      </c>
      <c r="S21" s="169">
        <f t="shared" si="3"/>
        <v>0</v>
      </c>
    </row>
    <row r="22" spans="1:19" ht="15.75" customHeight="1" thickBot="1" x14ac:dyDescent="0.3">
      <c r="A22" s="186" t="str">
        <f t="shared" si="0"/>
        <v/>
      </c>
      <c r="B22" s="194" t="str">
        <f>IF(G22*H22=0,"",SUM($A$3:A21)+1)</f>
        <v/>
      </c>
      <c r="C22" s="183"/>
      <c r="D22" s="166" t="str">
        <f t="shared" si="1"/>
        <v/>
      </c>
      <c r="E22" s="182"/>
      <c r="F22" s="183"/>
      <c r="G22" s="188"/>
      <c r="H22" s="189"/>
      <c r="I22" s="196" t="str">
        <f t="shared" si="2"/>
        <v/>
      </c>
      <c r="L22" s="175">
        <v>9</v>
      </c>
      <c r="M22" s="164" t="s">
        <v>390</v>
      </c>
      <c r="N22" s="185">
        <v>10</v>
      </c>
      <c r="O22" s="190" t="s">
        <v>50</v>
      </c>
      <c r="Q22" s="180" t="s">
        <v>391</v>
      </c>
      <c r="S22" s="169">
        <f t="shared" si="3"/>
        <v>0</v>
      </c>
    </row>
    <row r="23" spans="1:19" ht="15.75" customHeight="1" thickBot="1" x14ac:dyDescent="0.3">
      <c r="A23" s="186" t="str">
        <f t="shared" si="0"/>
        <v/>
      </c>
      <c r="B23" s="193" t="str">
        <f>IF(G23*H23=0,"",SUM($A$3:A22)+1)</f>
        <v/>
      </c>
      <c r="C23" s="66"/>
      <c r="D23" s="165" t="str">
        <f t="shared" si="1"/>
        <v/>
      </c>
      <c r="E23" s="181"/>
      <c r="F23" s="66"/>
      <c r="G23" s="187"/>
      <c r="H23" s="67"/>
      <c r="I23" s="195" t="str">
        <f t="shared" si="2"/>
        <v/>
      </c>
      <c r="L23" s="175">
        <v>11</v>
      </c>
      <c r="M23" s="179"/>
      <c r="N23" s="178">
        <v>10</v>
      </c>
      <c r="O23" s="191" t="s">
        <v>411</v>
      </c>
      <c r="Q23" s="180" t="s">
        <v>392</v>
      </c>
      <c r="S23" s="169">
        <f t="shared" si="3"/>
        <v>0</v>
      </c>
    </row>
    <row r="24" spans="1:19" ht="15.75" customHeight="1" thickBot="1" x14ac:dyDescent="0.3">
      <c r="A24" s="186" t="str">
        <f t="shared" si="0"/>
        <v/>
      </c>
      <c r="B24" s="194" t="str">
        <f>IF(G24*H24=0,"",SUM($A$3:A23)+1)</f>
        <v/>
      </c>
      <c r="C24" s="183"/>
      <c r="D24" s="166" t="str">
        <f t="shared" si="1"/>
        <v/>
      </c>
      <c r="E24" s="182"/>
      <c r="F24" s="183"/>
      <c r="G24" s="188"/>
      <c r="H24" s="189"/>
      <c r="I24" s="196" t="str">
        <f t="shared" si="2"/>
        <v/>
      </c>
      <c r="L24" s="175">
        <v>12</v>
      </c>
      <c r="M24" s="164" t="s">
        <v>391</v>
      </c>
      <c r="N24" s="185">
        <v>10</v>
      </c>
      <c r="O24" s="190" t="s">
        <v>251</v>
      </c>
      <c r="Q24" s="180" t="s">
        <v>394</v>
      </c>
      <c r="S24" s="169">
        <f t="shared" si="3"/>
        <v>0</v>
      </c>
    </row>
    <row r="25" spans="1:19" ht="15.75" customHeight="1" thickBot="1" x14ac:dyDescent="0.3">
      <c r="A25" s="186" t="str">
        <f t="shared" si="0"/>
        <v/>
      </c>
      <c r="B25" s="193" t="str">
        <f>IF(G25*H25=0,"",SUM($A$3:A24)+1)</f>
        <v/>
      </c>
      <c r="C25" s="66"/>
      <c r="D25" s="165" t="str">
        <f t="shared" si="1"/>
        <v/>
      </c>
      <c r="E25" s="181"/>
      <c r="F25" s="66"/>
      <c r="G25" s="187"/>
      <c r="H25" s="67"/>
      <c r="I25" s="195" t="str">
        <f t="shared" si="2"/>
        <v/>
      </c>
      <c r="L25" s="175">
        <v>21</v>
      </c>
      <c r="M25" s="164" t="s">
        <v>392</v>
      </c>
      <c r="N25" s="185">
        <v>11</v>
      </c>
      <c r="O25" s="190" t="s">
        <v>393</v>
      </c>
      <c r="Q25" s="180" t="s">
        <v>396</v>
      </c>
      <c r="S25" s="169">
        <f t="shared" si="3"/>
        <v>0</v>
      </c>
    </row>
    <row r="26" spans="1:19" ht="15.75" customHeight="1" thickBot="1" x14ac:dyDescent="0.3">
      <c r="A26" s="186" t="str">
        <f t="shared" si="0"/>
        <v/>
      </c>
      <c r="B26" s="194" t="str">
        <f>IF(G26*H26=0,"",SUM($A$3:A25)+1)</f>
        <v/>
      </c>
      <c r="C26" s="183"/>
      <c r="D26" s="166" t="str">
        <f t="shared" si="1"/>
        <v/>
      </c>
      <c r="E26" s="182"/>
      <c r="F26" s="183"/>
      <c r="G26" s="188"/>
      <c r="H26" s="189"/>
      <c r="I26" s="196" t="str">
        <f t="shared" si="2"/>
        <v/>
      </c>
      <c r="M26" s="164" t="s">
        <v>394</v>
      </c>
      <c r="N26" s="185">
        <v>11</v>
      </c>
      <c r="O26" s="190" t="s">
        <v>395</v>
      </c>
      <c r="Q26" s="180" t="s">
        <v>398</v>
      </c>
      <c r="S26" s="169">
        <f t="shared" si="3"/>
        <v>0</v>
      </c>
    </row>
    <row r="27" spans="1:19" ht="15.75" customHeight="1" thickBot="1" x14ac:dyDescent="0.3">
      <c r="A27" s="186" t="str">
        <f t="shared" si="0"/>
        <v/>
      </c>
      <c r="B27" s="193" t="str">
        <f>IF(G27*H27=0,"",SUM($A$3:A26)+1)</f>
        <v/>
      </c>
      <c r="C27" s="66"/>
      <c r="D27" s="165" t="str">
        <f t="shared" si="1"/>
        <v/>
      </c>
      <c r="E27" s="181"/>
      <c r="F27" s="66"/>
      <c r="G27" s="187"/>
      <c r="H27" s="67"/>
      <c r="I27" s="195" t="str">
        <f t="shared" si="2"/>
        <v/>
      </c>
      <c r="L27" s="175">
        <v>22</v>
      </c>
      <c r="M27" s="164" t="s">
        <v>396</v>
      </c>
      <c r="N27" s="185">
        <v>11</v>
      </c>
      <c r="O27" s="190" t="s">
        <v>397</v>
      </c>
      <c r="S27" s="169">
        <f t="shared" si="3"/>
        <v>0</v>
      </c>
    </row>
    <row r="28" spans="1:19" ht="15.75" customHeight="1" x14ac:dyDescent="0.25">
      <c r="A28" s="186" t="str">
        <f t="shared" si="0"/>
        <v/>
      </c>
      <c r="B28" s="194" t="str">
        <f>IF(G28*H28=0,"",SUM($A$3:A27)+1)</f>
        <v/>
      </c>
      <c r="C28" s="183"/>
      <c r="D28" s="166" t="str">
        <f t="shared" si="1"/>
        <v/>
      </c>
      <c r="E28" s="182"/>
      <c r="F28" s="183"/>
      <c r="G28" s="188"/>
      <c r="H28" s="189"/>
      <c r="I28" s="196" t="str">
        <f t="shared" si="2"/>
        <v/>
      </c>
      <c r="M28" s="164" t="s">
        <v>398</v>
      </c>
      <c r="N28" s="185">
        <v>12</v>
      </c>
      <c r="O28" s="190" t="s">
        <v>399</v>
      </c>
      <c r="Q28" s="176" t="s">
        <v>412</v>
      </c>
      <c r="S28" s="169">
        <f t="shared" si="3"/>
        <v>0</v>
      </c>
    </row>
    <row r="29" spans="1:19" ht="15.75" customHeight="1" x14ac:dyDescent="0.25">
      <c r="A29" s="186" t="str">
        <f t="shared" si="0"/>
        <v/>
      </c>
      <c r="B29" s="193" t="str">
        <f>IF(G29*H29=0,"",SUM($A$3:A28)+1)</f>
        <v/>
      </c>
      <c r="C29" s="66"/>
      <c r="D29" s="165" t="str">
        <f t="shared" si="1"/>
        <v/>
      </c>
      <c r="E29" s="181"/>
      <c r="F29" s="66"/>
      <c r="G29" s="187"/>
      <c r="H29" s="67"/>
      <c r="I29" s="195" t="str">
        <f t="shared" si="2"/>
        <v/>
      </c>
      <c r="M29" s="179"/>
      <c r="N29" s="185" t="s">
        <v>400</v>
      </c>
      <c r="O29" s="190" t="s">
        <v>401</v>
      </c>
      <c r="Q29" s="180" t="s">
        <v>156</v>
      </c>
      <c r="S29" s="169">
        <f t="shared" si="3"/>
        <v>0</v>
      </c>
    </row>
    <row r="30" spans="1:19" ht="15.75" customHeight="1" thickBot="1" x14ac:dyDescent="0.3">
      <c r="A30" s="186" t="str">
        <f t="shared" si="0"/>
        <v/>
      </c>
      <c r="B30" s="194" t="str">
        <f>IF(G30*H30=0,"",SUM($A$3:A29)+1)</f>
        <v/>
      </c>
      <c r="C30" s="183"/>
      <c r="D30" s="166" t="str">
        <f t="shared" si="1"/>
        <v/>
      </c>
      <c r="E30" s="182"/>
      <c r="F30" s="183"/>
      <c r="G30" s="188"/>
      <c r="H30" s="189"/>
      <c r="I30" s="196" t="str">
        <f t="shared" si="2"/>
        <v/>
      </c>
      <c r="Q30" s="180" t="s">
        <v>158</v>
      </c>
      <c r="S30" s="169">
        <f t="shared" si="3"/>
        <v>0</v>
      </c>
    </row>
    <row r="31" spans="1:19" ht="15.75" customHeight="1" thickBot="1" x14ac:dyDescent="0.3">
      <c r="A31" s="186" t="str">
        <f t="shared" si="0"/>
        <v/>
      </c>
      <c r="G31" s="171">
        <f>SUM(G3:G30)</f>
        <v>670000</v>
      </c>
      <c r="I31" s="197">
        <f>SUM(I3:I30)</f>
        <v>560000</v>
      </c>
      <c r="J31" s="184">
        <v>1</v>
      </c>
      <c r="K31" s="174" t="s">
        <v>410</v>
      </c>
      <c r="L31" s="167"/>
      <c r="M31" s="167"/>
      <c r="N31" s="167"/>
      <c r="S31" s="169">
        <f>SUM(S3:S30)</f>
        <v>100000</v>
      </c>
    </row>
    <row r="32" spans="1:19" ht="15.75" customHeight="1" thickBot="1" x14ac:dyDescent="0.3">
      <c r="A32" s="186" t="str">
        <f t="shared" si="0"/>
        <v/>
      </c>
      <c r="I32" s="197">
        <f>S31*0.03</f>
        <v>3000</v>
      </c>
      <c r="J32" s="184">
        <v>5</v>
      </c>
      <c r="K32" s="174" t="s">
        <v>31</v>
      </c>
      <c r="L32" s="167"/>
      <c r="M32" s="167"/>
      <c r="N32" s="167"/>
    </row>
    <row r="33" spans="12:14" ht="15.75" customHeight="1" x14ac:dyDescent="0.25">
      <c r="L33" s="167"/>
      <c r="M33" s="167"/>
      <c r="N33" s="167"/>
    </row>
  </sheetData>
  <sheetProtection sheet="1" objects="1" scenarios="1" selectLockedCells="1"/>
  <dataValidations count="2">
    <dataValidation type="list" allowBlank="1" showInputMessage="1" showErrorMessage="1" sqref="C3:C30">
      <formula1>$Q$3:$Q$26</formula1>
    </dataValidation>
    <dataValidation type="list" allowBlank="1" showInputMessage="1" showErrorMessage="1" sqref="F3:F30">
      <formula1>$Q$29:$Q$30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56"/>
  <sheetViews>
    <sheetView tabSelected="1" workbookViewId="0">
      <selection activeCell="F13" sqref="F13"/>
    </sheetView>
  </sheetViews>
  <sheetFormatPr baseColWidth="10" defaultRowHeight="15.75" x14ac:dyDescent="0.25"/>
  <cols>
    <col min="1" max="1" width="3.5703125" style="46" customWidth="1"/>
    <col min="2" max="2" width="3.5703125" style="48" hidden="1" customWidth="1"/>
    <col min="3" max="3" width="17.140625" style="74" customWidth="1"/>
    <col min="4" max="4" width="34.7109375" style="74" customWidth="1"/>
    <col min="5" max="5" width="17.140625" style="74" customWidth="1"/>
    <col min="6" max="8" width="11.42578125" style="122" customWidth="1"/>
    <col min="9" max="9" width="3.5703125" style="47" customWidth="1"/>
    <col min="10" max="10" width="3.42578125" style="1" customWidth="1"/>
    <col min="11" max="11" width="45.7109375" style="1" customWidth="1"/>
    <col min="12" max="12" width="5" style="2" customWidth="1"/>
    <col min="13" max="13" width="17.140625" style="1" customWidth="1"/>
    <col min="14" max="14" width="3.42578125" style="1" customWidth="1"/>
    <col min="15" max="15" width="45.7109375" style="1" customWidth="1"/>
    <col min="16" max="16" width="5" style="2" customWidth="1"/>
    <col min="17" max="17" width="17.140625" style="3" customWidth="1"/>
    <col min="18" max="18" width="3.42578125" style="1" customWidth="1"/>
    <col min="19" max="19" width="3.5703125" style="1" customWidth="1"/>
    <col min="20" max="20" width="17.5703125" style="47" hidden="1" customWidth="1"/>
    <col min="21" max="21" width="19.42578125" style="47" hidden="1" customWidth="1"/>
    <col min="22" max="22" width="13.42578125" style="47" hidden="1" customWidth="1"/>
    <col min="23" max="23" width="18.140625" style="47" hidden="1" customWidth="1"/>
    <col min="24" max="24" width="10.42578125" style="47" hidden="1" customWidth="1"/>
    <col min="25" max="25" width="3.5703125" style="1" hidden="1" customWidth="1"/>
    <col min="26" max="26" width="39.28515625" style="1" hidden="1" customWidth="1"/>
    <col min="27" max="27" width="11.42578125" style="1" hidden="1" customWidth="1"/>
    <col min="28" max="28" width="13.85546875" style="1" hidden="1" customWidth="1"/>
    <col min="29" max="29" width="11.42578125" style="1" hidden="1" customWidth="1"/>
    <col min="30" max="30" width="4.7109375" style="1" hidden="1" customWidth="1"/>
    <col min="31" max="33" width="11.42578125" style="1" hidden="1" customWidth="1"/>
    <col min="34" max="34" width="11.42578125" style="1" customWidth="1"/>
    <col min="35" max="16384" width="11.42578125" style="1"/>
  </cols>
  <sheetData>
    <row r="1" spans="2:32" x14ac:dyDescent="0.25">
      <c r="J1" s="54"/>
      <c r="K1" s="54"/>
      <c r="L1" s="56"/>
      <c r="M1" s="54"/>
      <c r="N1" s="54"/>
      <c r="O1" s="54"/>
      <c r="P1" s="56"/>
      <c r="Q1" s="55"/>
      <c r="R1" s="54"/>
    </row>
    <row r="2" spans="2:32" x14ac:dyDescent="0.25">
      <c r="B2" s="46"/>
      <c r="C2" s="280" t="s">
        <v>0</v>
      </c>
      <c r="D2" s="280"/>
      <c r="E2" s="113"/>
      <c r="F2" s="286" t="s">
        <v>1</v>
      </c>
      <c r="G2" s="286"/>
      <c r="H2" s="287"/>
      <c r="J2" s="57"/>
      <c r="K2" s="60" t="s">
        <v>121</v>
      </c>
      <c r="L2" s="59"/>
      <c r="M2" s="61" t="s">
        <v>1004</v>
      </c>
      <c r="N2" s="57"/>
      <c r="O2" s="241" t="s">
        <v>1006</v>
      </c>
      <c r="P2" s="59"/>
      <c r="Q2" s="58"/>
      <c r="R2" s="57"/>
      <c r="T2" s="46"/>
      <c r="Z2" s="281" t="s">
        <v>2</v>
      </c>
      <c r="AA2" s="282"/>
      <c r="AB2" s="282"/>
      <c r="AC2" s="282"/>
    </row>
    <row r="3" spans="2:32" x14ac:dyDescent="0.25">
      <c r="B3" s="46"/>
      <c r="C3" s="283">
        <v>44360</v>
      </c>
      <c r="D3" s="249"/>
      <c r="E3" s="123"/>
      <c r="F3" s="249" t="s">
        <v>3</v>
      </c>
      <c r="G3" s="249"/>
      <c r="H3" s="249"/>
      <c r="J3" s="54"/>
      <c r="K3" s="54"/>
      <c r="L3" s="56"/>
      <c r="M3" s="54"/>
      <c r="N3" s="54"/>
      <c r="O3" s="54"/>
      <c r="P3" s="56"/>
      <c r="Q3" s="55"/>
      <c r="R3" s="54"/>
      <c r="T3" s="46"/>
      <c r="Z3" s="4" t="s">
        <v>4</v>
      </c>
      <c r="AA3" s="5" t="s">
        <v>5</v>
      </c>
      <c r="AB3" s="5" t="s">
        <v>6</v>
      </c>
      <c r="AC3" s="5" t="s">
        <v>7</v>
      </c>
      <c r="AE3" s="6"/>
      <c r="AF3" s="7" t="s">
        <v>8</v>
      </c>
    </row>
    <row r="4" spans="2:32" ht="16.5" thickBot="1" x14ac:dyDescent="0.3">
      <c r="B4" s="46"/>
      <c r="E4" s="124"/>
      <c r="F4" s="74"/>
      <c r="G4" s="74"/>
      <c r="H4" s="74"/>
      <c r="J4" s="8"/>
      <c r="K4" s="9" t="s">
        <v>9</v>
      </c>
      <c r="L4" s="9"/>
      <c r="M4" s="9" t="s">
        <v>10</v>
      </c>
      <c r="N4" s="8"/>
      <c r="O4" s="9" t="s">
        <v>9</v>
      </c>
      <c r="P4" s="9"/>
      <c r="Q4" s="9" t="s">
        <v>10</v>
      </c>
      <c r="R4" s="8"/>
      <c r="T4" s="46"/>
      <c r="Z4" s="4" t="s">
        <v>3</v>
      </c>
      <c r="AA4" s="4">
        <v>1</v>
      </c>
      <c r="AB4" s="4">
        <v>1.5882000000000001</v>
      </c>
      <c r="AC4" s="4">
        <v>2</v>
      </c>
      <c r="AE4" s="10" t="s">
        <v>5</v>
      </c>
      <c r="AF4" s="7" t="s">
        <v>11</v>
      </c>
    </row>
    <row r="5" spans="2:32" x14ac:dyDescent="0.25">
      <c r="B5" s="46"/>
      <c r="C5" s="280" t="s">
        <v>12</v>
      </c>
      <c r="D5" s="280"/>
      <c r="E5" s="288" t="s">
        <v>258</v>
      </c>
      <c r="F5" s="289"/>
      <c r="G5" s="290"/>
      <c r="H5" s="291"/>
      <c r="J5" s="8"/>
      <c r="K5" s="11" t="s">
        <v>13</v>
      </c>
      <c r="L5" s="12">
        <v>1</v>
      </c>
      <c r="M5" s="13">
        <f>C6</f>
        <v>560000</v>
      </c>
      <c r="N5" s="8"/>
      <c r="O5" s="11" t="s">
        <v>14</v>
      </c>
      <c r="P5" s="12">
        <v>22</v>
      </c>
      <c r="Q5" s="14"/>
      <c r="R5" s="8"/>
      <c r="T5" s="46"/>
      <c r="U5" s="46"/>
      <c r="V5" s="46"/>
      <c r="W5" s="46"/>
      <c r="Z5" s="4" t="s">
        <v>15</v>
      </c>
      <c r="AA5" s="4">
        <v>1</v>
      </c>
      <c r="AB5" s="4">
        <v>1.6676</v>
      </c>
      <c r="AC5" s="4">
        <v>2.1</v>
      </c>
      <c r="AE5" s="10" t="s">
        <v>6</v>
      </c>
      <c r="AF5" s="7" t="s">
        <v>16</v>
      </c>
    </row>
    <row r="6" spans="2:32" x14ac:dyDescent="0.25">
      <c r="B6" s="46"/>
      <c r="C6" s="284">
        <f>'MODELO D650'!I31</f>
        <v>560000</v>
      </c>
      <c r="D6" s="285"/>
      <c r="E6" s="66" t="s">
        <v>132</v>
      </c>
      <c r="F6" s="67">
        <f>1/2</f>
        <v>0.5</v>
      </c>
      <c r="G6" s="125" t="s">
        <v>257</v>
      </c>
      <c r="H6" s="68">
        <f>T6</f>
        <v>1</v>
      </c>
      <c r="J6" s="8"/>
      <c r="K6" s="15" t="s">
        <v>17</v>
      </c>
      <c r="L6" s="16">
        <v>2</v>
      </c>
      <c r="M6" s="17"/>
      <c r="N6" s="8"/>
      <c r="O6" s="15" t="s">
        <v>18</v>
      </c>
      <c r="P6" s="16">
        <v>13</v>
      </c>
      <c r="Q6" s="192" t="str">
        <f>IF(W26="ERROR","",IF(T40="EXENTA","",IF(T42="NO","",IF(U27="SI",IF(V44=0,M35,V44-M32),IF(V45=0,M35,V45-M32)))))</f>
        <v/>
      </c>
      <c r="R6" s="8"/>
      <c r="T6" s="47">
        <f>IF(E6="Indicar %",F6,VLOOKUP(E6,AE22:AF24,2,0))</f>
        <v>1</v>
      </c>
      <c r="U6" s="46"/>
      <c r="V6" s="46"/>
      <c r="W6" s="46"/>
      <c r="Z6" s="4" t="s">
        <v>19</v>
      </c>
      <c r="AA6" s="4">
        <v>1</v>
      </c>
      <c r="AB6" s="4">
        <v>1.7471000000000001</v>
      </c>
      <c r="AC6" s="4">
        <v>2.2000000000000002</v>
      </c>
      <c r="AE6" s="10" t="s">
        <v>7</v>
      </c>
      <c r="AF6" s="7" t="s">
        <v>20</v>
      </c>
    </row>
    <row r="7" spans="2:32" x14ac:dyDescent="0.25">
      <c r="E7" s="124"/>
      <c r="J7" s="8"/>
      <c r="K7" s="15" t="s">
        <v>21</v>
      </c>
      <c r="L7" s="16">
        <v>3</v>
      </c>
      <c r="M7" s="17"/>
      <c r="N7" s="8"/>
      <c r="O7" s="18" t="s">
        <v>22</v>
      </c>
      <c r="P7" s="19"/>
      <c r="Q7" s="242"/>
      <c r="R7" s="8"/>
      <c r="Z7" s="4" t="s">
        <v>23</v>
      </c>
      <c r="AA7" s="4">
        <v>1</v>
      </c>
      <c r="AB7" s="4">
        <v>1.9058999999999999</v>
      </c>
      <c r="AC7" s="4">
        <v>2.4</v>
      </c>
    </row>
    <row r="8" spans="2:32" x14ac:dyDescent="0.25">
      <c r="B8" s="46"/>
      <c r="C8" s="280" t="s">
        <v>24</v>
      </c>
      <c r="D8" s="280"/>
      <c r="E8" s="76" t="s">
        <v>25</v>
      </c>
      <c r="F8" s="126" t="s">
        <v>26</v>
      </c>
      <c r="H8" s="127" t="s">
        <v>27</v>
      </c>
      <c r="J8" s="8"/>
      <c r="K8" s="18" t="s">
        <v>28</v>
      </c>
      <c r="L8" s="16">
        <v>4</v>
      </c>
      <c r="M8" s="21">
        <f>IF((M5+M6-M7)&lt;0,0,M5+M6-M7)</f>
        <v>560000</v>
      </c>
      <c r="N8" s="8"/>
      <c r="O8" s="15" t="s">
        <v>29</v>
      </c>
      <c r="P8" s="19" t="s">
        <v>30</v>
      </c>
      <c r="Q8" s="243" t="str">
        <f>IF(W26="ERROR","",IF(T40="EXENTA","",IF(T42="NO","",'CUOTA TEORICA'!C10)))</f>
        <v/>
      </c>
      <c r="R8" s="8"/>
      <c r="T8" s="47" t="s">
        <v>105</v>
      </c>
      <c r="U8" s="118" t="s">
        <v>27</v>
      </c>
      <c r="V8" s="46"/>
      <c r="W8" s="46"/>
    </row>
    <row r="9" spans="2:32" x14ac:dyDescent="0.25">
      <c r="B9" s="46"/>
      <c r="C9" s="283">
        <v>19484</v>
      </c>
      <c r="D9" s="285"/>
      <c r="E9" s="69">
        <f>IF(ISBLANK(C9),"",IF(AND(G23=100%,H23=100%),TRUNC(YEARFRAC(C3,C9)),""))</f>
        <v>68</v>
      </c>
      <c r="F9" s="68">
        <f>IF(ISBLANK(C9),0,IF(AND(G23=100%,H23=100%),IF((89-E9)&gt;70,70,IF((89-E9)&lt;10,10,(89-E9)))/100,""))</f>
        <v>0.21</v>
      </c>
      <c r="G9" s="125" t="s">
        <v>257</v>
      </c>
      <c r="H9" s="75">
        <f>IF(ISBLANK(C9),"",IF(AND(G23=100%,H23=100%),1-F9,""))</f>
        <v>0.79</v>
      </c>
      <c r="J9" s="8"/>
      <c r="K9" s="15" t="s">
        <v>31</v>
      </c>
      <c r="L9" s="16">
        <v>5</v>
      </c>
      <c r="M9" s="192">
        <f>'MODELO D650'!I32</f>
        <v>3000</v>
      </c>
      <c r="N9" s="8"/>
      <c r="O9" s="15" t="s">
        <v>32</v>
      </c>
      <c r="P9" s="19" t="s">
        <v>33</v>
      </c>
      <c r="Q9" s="243" t="str">
        <f>IF(W26="ERROR","",IF(T40="EXENTA","",IF(T42="NO","",'CUOTA TEORICA'!M4)))</f>
        <v/>
      </c>
      <c r="R9" s="8"/>
      <c r="T9" s="49">
        <f>M16*F9</f>
        <v>118230</v>
      </c>
      <c r="U9" s="117">
        <f>M16-T9</f>
        <v>444770</v>
      </c>
      <c r="V9" s="46"/>
      <c r="W9" s="46"/>
    </row>
    <row r="10" spans="2:32" x14ac:dyDescent="0.25">
      <c r="B10" s="46"/>
      <c r="F10" s="74"/>
      <c r="G10" s="74"/>
      <c r="H10" s="74"/>
      <c r="J10" s="8"/>
      <c r="K10" s="18" t="s">
        <v>34</v>
      </c>
      <c r="L10" s="16">
        <v>6</v>
      </c>
      <c r="M10" s="21">
        <f>M8+M9</f>
        <v>563000</v>
      </c>
      <c r="N10" s="8"/>
      <c r="O10" s="15" t="s">
        <v>35</v>
      </c>
      <c r="P10" s="16">
        <v>14</v>
      </c>
      <c r="Q10" s="192">
        <f>SUM(Q8:Q9)</f>
        <v>0</v>
      </c>
      <c r="R10" s="8"/>
      <c r="T10" s="46"/>
      <c r="U10" s="46"/>
      <c r="V10" s="46"/>
      <c r="W10" s="46"/>
      <c r="Z10" s="5" t="s">
        <v>36</v>
      </c>
      <c r="AA10" s="5" t="s">
        <v>37</v>
      </c>
      <c r="AB10" s="5" t="s">
        <v>37</v>
      </c>
      <c r="AC10" s="1" t="s">
        <v>358</v>
      </c>
    </row>
    <row r="11" spans="2:32" ht="16.5" thickBot="1" x14ac:dyDescent="0.3">
      <c r="C11" s="76" t="s">
        <v>38</v>
      </c>
      <c r="D11" s="76" t="s">
        <v>359</v>
      </c>
      <c r="E11" s="76" t="s">
        <v>251</v>
      </c>
      <c r="F11" s="70" t="s">
        <v>115</v>
      </c>
      <c r="G11" s="70" t="s">
        <v>116</v>
      </c>
      <c r="H11" s="70" t="s">
        <v>117</v>
      </c>
      <c r="J11" s="8"/>
      <c r="K11" s="15"/>
      <c r="L11" s="19"/>
      <c r="M11" s="20"/>
      <c r="N11" s="8"/>
      <c r="O11" s="22" t="s">
        <v>42</v>
      </c>
      <c r="P11" s="23">
        <v>15</v>
      </c>
      <c r="Q11" s="24">
        <f>IF(ISERROR(Q10/Q6),0,TRUNC(Q10/Q6,4))</f>
        <v>0</v>
      </c>
      <c r="R11" s="8"/>
      <c r="T11" s="47" t="s">
        <v>360</v>
      </c>
      <c r="U11" s="47" t="s">
        <v>37</v>
      </c>
      <c r="V11" s="47" t="s">
        <v>40</v>
      </c>
      <c r="W11" s="47" t="s">
        <v>41</v>
      </c>
      <c r="Z11" s="5" t="s">
        <v>47</v>
      </c>
      <c r="AA11" s="143" t="s">
        <v>48</v>
      </c>
      <c r="AB11" s="140" t="s">
        <v>328</v>
      </c>
    </row>
    <row r="12" spans="2:32" ht="16.5" thickBot="1" x14ac:dyDescent="0.3">
      <c r="C12" s="69" t="s">
        <v>135</v>
      </c>
      <c r="D12" s="66" t="s">
        <v>45</v>
      </c>
      <c r="E12" s="161"/>
      <c r="F12" s="67"/>
      <c r="G12" s="67">
        <v>1</v>
      </c>
      <c r="H12" s="67"/>
      <c r="J12" s="8"/>
      <c r="K12" s="15" t="s">
        <v>46</v>
      </c>
      <c r="L12" s="16">
        <v>7</v>
      </c>
      <c r="M12" s="17"/>
      <c r="N12" s="8"/>
      <c r="O12" s="8"/>
      <c r="P12" s="19"/>
      <c r="Q12" s="25"/>
      <c r="R12" s="8"/>
      <c r="T12" s="49" t="s">
        <v>361</v>
      </c>
      <c r="U12" s="47" t="str">
        <f t="shared" ref="U12:U21" si="0">VLOOKUP(D12,$Z$11:$AB$25,3,0)</f>
        <v>GRUPO II-2</v>
      </c>
      <c r="V12" s="50" t="e">
        <f>VLOOKUP($F$3,$Z$4:AC7,VLOOKUP(U12,$AE$4:$AF$6,2,0),0)</f>
        <v>#N/A</v>
      </c>
      <c r="W12" s="47">
        <f t="shared" ref="W12:W21" si="1">IF($U$26="SI",F12,IF($U$27="SI",(G12*$F$9)+(H12*$H$9),(F12*$H$9)+(G12*$F$9*$H$6)+(H12*$F$9*(1-$H$6))))</f>
        <v>0.21</v>
      </c>
      <c r="Z12" s="143" t="s">
        <v>45</v>
      </c>
      <c r="AA12" s="143" t="s">
        <v>48</v>
      </c>
      <c r="AB12" s="140" t="s">
        <v>328</v>
      </c>
      <c r="AC12" s="26"/>
    </row>
    <row r="13" spans="2:32" x14ac:dyDescent="0.25">
      <c r="C13" s="69" t="s">
        <v>136</v>
      </c>
      <c r="D13" s="71" t="s">
        <v>47</v>
      </c>
      <c r="E13" s="162"/>
      <c r="F13" s="67"/>
      <c r="G13" s="72"/>
      <c r="H13" s="72">
        <v>0.5</v>
      </c>
      <c r="J13" s="8"/>
      <c r="K13" s="15" t="s">
        <v>49</v>
      </c>
      <c r="L13" s="16">
        <v>8</v>
      </c>
      <c r="M13" s="17"/>
      <c r="N13" s="8"/>
      <c r="O13" s="27" t="s">
        <v>22</v>
      </c>
      <c r="P13" s="28"/>
      <c r="Q13" s="29"/>
      <c r="R13" s="8"/>
      <c r="T13" s="49" t="s">
        <v>361</v>
      </c>
      <c r="U13" s="47" t="str">
        <f t="shared" si="0"/>
        <v>GRUPO II-2</v>
      </c>
      <c r="V13" s="50" t="e">
        <f>VLOOKUP($F$3,$Z$4:AC8,VLOOKUP(U13,$AE$4:$AF$6,2,0),0)</f>
        <v>#N/A</v>
      </c>
      <c r="W13" s="47">
        <f t="shared" si="1"/>
        <v>0.39500000000000002</v>
      </c>
      <c r="Z13" s="143" t="s">
        <v>51</v>
      </c>
      <c r="AA13" s="143" t="s">
        <v>48</v>
      </c>
      <c r="AB13" s="140" t="s">
        <v>328</v>
      </c>
      <c r="AC13" s="26"/>
    </row>
    <row r="14" spans="2:32" x14ac:dyDescent="0.25">
      <c r="C14" s="69" t="s">
        <v>137</v>
      </c>
      <c r="D14" s="71" t="s">
        <v>47</v>
      </c>
      <c r="E14" s="162"/>
      <c r="F14" s="67"/>
      <c r="G14" s="72"/>
      <c r="H14" s="72">
        <v>0.5</v>
      </c>
      <c r="J14" s="8"/>
      <c r="K14" s="15" t="s">
        <v>50</v>
      </c>
      <c r="L14" s="16">
        <v>9</v>
      </c>
      <c r="M14" s="17"/>
      <c r="N14" s="8"/>
      <c r="O14" s="15" t="s">
        <v>29</v>
      </c>
      <c r="P14" s="19"/>
      <c r="Q14" s="243" t="str">
        <f>IF(W26="ERROR","",IF(T40="EXENTA","",IF(T42="NO",'CUOTA LIQUIDA'!C10,"")))</f>
        <v/>
      </c>
      <c r="R14" s="8"/>
      <c r="T14" s="49" t="s">
        <v>361</v>
      </c>
      <c r="U14" s="47" t="str">
        <f t="shared" si="0"/>
        <v>GRUPO II-2</v>
      </c>
      <c r="V14" s="50" t="e">
        <f>VLOOKUP($F$3,$Z$4:AC9,VLOOKUP(U14,$AE$4:$AF$6,2,0),0)</f>
        <v>#N/A</v>
      </c>
      <c r="W14" s="47">
        <f t="shared" si="1"/>
        <v>0.39500000000000002</v>
      </c>
      <c r="Z14" s="143" t="s">
        <v>57</v>
      </c>
      <c r="AA14" s="143" t="s">
        <v>48</v>
      </c>
      <c r="AB14" s="140" t="s">
        <v>328</v>
      </c>
      <c r="AC14" s="26"/>
      <c r="AD14" s="7"/>
    </row>
    <row r="15" spans="2:32" x14ac:dyDescent="0.25">
      <c r="C15" s="69" t="s">
        <v>138</v>
      </c>
      <c r="D15" s="71"/>
      <c r="E15" s="162"/>
      <c r="F15" s="72"/>
      <c r="G15" s="72"/>
      <c r="H15" s="72"/>
      <c r="J15" s="8"/>
      <c r="K15" s="18" t="s">
        <v>52</v>
      </c>
      <c r="L15" s="16">
        <v>10</v>
      </c>
      <c r="M15" s="21">
        <f>M12+M13+M14</f>
        <v>0</v>
      </c>
      <c r="N15" s="8"/>
      <c r="O15" s="15" t="s">
        <v>32</v>
      </c>
      <c r="P15" s="19"/>
      <c r="Q15" s="243" t="str">
        <f>IF(W26="ERROR","",IF(T40="EXENTA","",IF(T42="NO",'CUOTA LIQUIDA'!M4,"")))</f>
        <v/>
      </c>
      <c r="R15" s="8"/>
      <c r="T15" s="49" t="s">
        <v>361</v>
      </c>
      <c r="U15" s="47" t="e">
        <f t="shared" si="0"/>
        <v>#N/A</v>
      </c>
      <c r="V15" s="50" t="e">
        <f>VLOOKUP($F$3,$Z$4:AC10,VLOOKUP(U15,$AE$4:$AF$6,2,0),0)</f>
        <v>#N/A</v>
      </c>
      <c r="W15" s="47">
        <f t="shared" si="1"/>
        <v>0</v>
      </c>
      <c r="Z15" s="143" t="s">
        <v>60</v>
      </c>
      <c r="AA15" s="143" t="s">
        <v>48</v>
      </c>
      <c r="AB15" s="140" t="s">
        <v>328</v>
      </c>
      <c r="AC15" s="26"/>
      <c r="AD15" s="7"/>
    </row>
    <row r="16" spans="2:32" ht="16.5" thickBot="1" x14ac:dyDescent="0.3">
      <c r="C16" s="69" t="s">
        <v>139</v>
      </c>
      <c r="D16" s="71"/>
      <c r="E16" s="162"/>
      <c r="F16" s="72"/>
      <c r="G16" s="72"/>
      <c r="H16" s="72"/>
      <c r="J16" s="8"/>
      <c r="K16" s="30" t="s">
        <v>54</v>
      </c>
      <c r="L16" s="23">
        <v>11</v>
      </c>
      <c r="M16" s="31">
        <f>IF((M10-M15)&lt;0,0,M10-M15)</f>
        <v>563000</v>
      </c>
      <c r="N16" s="8"/>
      <c r="O16" s="15"/>
      <c r="P16" s="32"/>
      <c r="Q16" s="20"/>
      <c r="R16" s="8"/>
      <c r="T16" s="49" t="s">
        <v>361</v>
      </c>
      <c r="U16" s="47" t="e">
        <f t="shared" si="0"/>
        <v>#N/A</v>
      </c>
      <c r="V16" s="50" t="e">
        <f>VLOOKUP($F$3,$Z$4:AC11,VLOOKUP(U16,$AE$4:$AF$6,2,0),0)</f>
        <v>#N/A</v>
      </c>
      <c r="W16" s="47">
        <f t="shared" si="1"/>
        <v>0</v>
      </c>
      <c r="Z16" s="143" t="s">
        <v>55</v>
      </c>
      <c r="AA16" s="143" t="s">
        <v>48</v>
      </c>
      <c r="AB16" s="140" t="s">
        <v>328</v>
      </c>
      <c r="AC16" s="26"/>
      <c r="AD16" s="7"/>
    </row>
    <row r="17" spans="2:34" ht="16.5" thickBot="1" x14ac:dyDescent="0.3">
      <c r="C17" s="69" t="s">
        <v>140</v>
      </c>
      <c r="D17" s="71"/>
      <c r="E17" s="162"/>
      <c r="F17" s="72"/>
      <c r="G17" s="72"/>
      <c r="H17" s="72"/>
      <c r="J17" s="8"/>
      <c r="K17" s="8"/>
      <c r="L17" s="19"/>
      <c r="M17" s="33"/>
      <c r="N17" s="8"/>
      <c r="O17" s="18" t="s">
        <v>56</v>
      </c>
      <c r="P17" s="16">
        <v>30</v>
      </c>
      <c r="Q17" s="21">
        <f>IF(ISERROR(Q10/Q6),SUM(Q14:Q15),IF(M35=Q6,SUM(Q8:Q9),M35*Q11))</f>
        <v>0</v>
      </c>
      <c r="R17" s="8"/>
      <c r="T17" s="49" t="s">
        <v>361</v>
      </c>
      <c r="U17" s="47" t="e">
        <f t="shared" si="0"/>
        <v>#N/A</v>
      </c>
      <c r="V17" s="50" t="e">
        <f>VLOOKUP($F$3,$Z$4:AC12,VLOOKUP(U17,$AE$4:$AF$6,2,0),0)</f>
        <v>#N/A</v>
      </c>
      <c r="W17" s="47">
        <f t="shared" si="1"/>
        <v>0</v>
      </c>
      <c r="Z17" s="143" t="s">
        <v>63</v>
      </c>
      <c r="AA17" s="143" t="s">
        <v>48</v>
      </c>
      <c r="AB17" s="140" t="s">
        <v>328</v>
      </c>
      <c r="AC17" s="26"/>
      <c r="AD17" s="7"/>
    </row>
    <row r="18" spans="2:34" x14ac:dyDescent="0.25">
      <c r="C18" s="69" t="s">
        <v>141</v>
      </c>
      <c r="D18" s="71"/>
      <c r="E18" s="162"/>
      <c r="F18" s="72"/>
      <c r="G18" s="72"/>
      <c r="H18" s="72"/>
      <c r="J18" s="8"/>
      <c r="K18" s="11" t="s">
        <v>58</v>
      </c>
      <c r="L18" s="12">
        <v>20</v>
      </c>
      <c r="M18" s="13">
        <f>IF(W26="ERROR","",IF(U26="SI",U31,IF(U27="SI",U32,IF(U28="SI",U33,""))))</f>
        <v>118230</v>
      </c>
      <c r="N18" s="8"/>
      <c r="O18" s="15" t="s">
        <v>59</v>
      </c>
      <c r="P18" s="16">
        <v>31</v>
      </c>
      <c r="Q18" s="62">
        <f>'CUOTA TEORICA'!E7</f>
        <v>1</v>
      </c>
      <c r="R18" s="8"/>
      <c r="T18" s="49" t="s">
        <v>361</v>
      </c>
      <c r="U18" s="47" t="e">
        <f t="shared" si="0"/>
        <v>#N/A</v>
      </c>
      <c r="V18" s="50" t="e">
        <f>VLOOKUP($F$3,$Z$4:AC13,VLOOKUP(U18,$AE$4:$AF$6,2,0),0)</f>
        <v>#N/A</v>
      </c>
      <c r="W18" s="47">
        <f t="shared" si="1"/>
        <v>0</v>
      </c>
      <c r="Z18" s="143" t="s">
        <v>66</v>
      </c>
      <c r="AA18" s="143" t="s">
        <v>48</v>
      </c>
      <c r="AB18" s="140" t="s">
        <v>328</v>
      </c>
      <c r="AC18" s="26"/>
      <c r="AD18" s="7"/>
    </row>
    <row r="19" spans="2:34" x14ac:dyDescent="0.25">
      <c r="C19" s="69" t="s">
        <v>142</v>
      </c>
      <c r="D19" s="71"/>
      <c r="E19" s="162"/>
      <c r="F19" s="72"/>
      <c r="G19" s="72"/>
      <c r="H19" s="72"/>
      <c r="J19" s="8"/>
      <c r="K19" s="15" t="s">
        <v>61</v>
      </c>
      <c r="L19" s="16">
        <v>21</v>
      </c>
      <c r="M19" s="17"/>
      <c r="N19" s="8"/>
      <c r="O19" s="15" t="s">
        <v>62</v>
      </c>
      <c r="P19" s="16">
        <v>32</v>
      </c>
      <c r="Q19" s="21">
        <f>Q17*Q18</f>
        <v>0</v>
      </c>
      <c r="R19" s="8"/>
      <c r="T19" s="49" t="s">
        <v>361</v>
      </c>
      <c r="U19" s="47" t="e">
        <f t="shared" si="0"/>
        <v>#N/A</v>
      </c>
      <c r="V19" s="50" t="e">
        <f>VLOOKUP($F$3,$Z$4:AC14,VLOOKUP(U19,$AE$4:$AF$6,2,0),0)</f>
        <v>#N/A</v>
      </c>
      <c r="W19" s="47">
        <f t="shared" si="1"/>
        <v>0</v>
      </c>
      <c r="Z19" s="147" t="s">
        <v>68</v>
      </c>
      <c r="AA19" s="147" t="s">
        <v>6</v>
      </c>
      <c r="AB19" s="142" t="s">
        <v>331</v>
      </c>
      <c r="AC19" s="26"/>
      <c r="AD19" s="7"/>
    </row>
    <row r="20" spans="2:34" x14ac:dyDescent="0.25">
      <c r="C20" s="69" t="s">
        <v>143</v>
      </c>
      <c r="D20" s="71"/>
      <c r="E20" s="162"/>
      <c r="F20" s="72"/>
      <c r="G20" s="72"/>
      <c r="H20" s="72"/>
      <c r="J20" s="8"/>
      <c r="K20" s="18" t="s">
        <v>64</v>
      </c>
      <c r="L20" s="16">
        <v>23</v>
      </c>
      <c r="M20" s="21">
        <f>M18+M19</f>
        <v>118230</v>
      </c>
      <c r="N20" s="8"/>
      <c r="O20" s="15" t="s">
        <v>65</v>
      </c>
      <c r="P20" s="16">
        <v>33</v>
      </c>
      <c r="Q20" s="17"/>
      <c r="R20" s="8"/>
      <c r="T20" s="49" t="s">
        <v>361</v>
      </c>
      <c r="U20" s="47" t="e">
        <f t="shared" si="0"/>
        <v>#N/A</v>
      </c>
      <c r="V20" s="50" t="e">
        <f>VLOOKUP($F$3,$Z$4:AC15,VLOOKUP(U20,$AE$4:$AF$6,2,0),0)</f>
        <v>#N/A</v>
      </c>
      <c r="W20" s="47">
        <f t="shared" si="1"/>
        <v>0</v>
      </c>
      <c r="Z20" s="143" t="s">
        <v>71</v>
      </c>
      <c r="AA20" s="143" t="s">
        <v>6</v>
      </c>
      <c r="AB20" s="140" t="s">
        <v>332</v>
      </c>
      <c r="AC20" s="26"/>
      <c r="AD20" s="7"/>
    </row>
    <row r="21" spans="2:34" x14ac:dyDescent="0.25">
      <c r="C21" s="69" t="s">
        <v>144</v>
      </c>
      <c r="D21" s="71"/>
      <c r="E21" s="162"/>
      <c r="F21" s="72"/>
      <c r="G21" s="72"/>
      <c r="H21" s="72"/>
      <c r="J21" s="8"/>
      <c r="K21" s="15"/>
      <c r="L21" s="32"/>
      <c r="M21" s="34"/>
      <c r="N21" s="8"/>
      <c r="O21" s="18" t="s">
        <v>67</v>
      </c>
      <c r="P21" s="35">
        <v>34</v>
      </c>
      <c r="Q21" s="21">
        <f>IF((Q19-Q20)&lt;0,0,Q19-Q20)</f>
        <v>0</v>
      </c>
      <c r="R21" s="8"/>
      <c r="T21" s="49" t="s">
        <v>361</v>
      </c>
      <c r="U21" s="47" t="e">
        <f t="shared" si="0"/>
        <v>#N/A</v>
      </c>
      <c r="V21" s="50" t="e">
        <f>VLOOKUP($F$3,$Z$4:AC16,VLOOKUP(U21,$AE$4:$AF$6,2,0),0)</f>
        <v>#N/A</v>
      </c>
      <c r="W21" s="47">
        <f t="shared" si="1"/>
        <v>0</v>
      </c>
      <c r="Z21" s="143" t="s">
        <v>75</v>
      </c>
      <c r="AA21" s="143" t="s">
        <v>6</v>
      </c>
      <c r="AB21" s="140" t="s">
        <v>332</v>
      </c>
      <c r="AC21" s="36"/>
      <c r="AD21" s="6"/>
      <c r="AE21" s="114" t="s">
        <v>129</v>
      </c>
      <c r="AF21" s="114"/>
    </row>
    <row r="22" spans="2:34" x14ac:dyDescent="0.25">
      <c r="C22" s="73"/>
      <c r="F22" s="70" t="s">
        <v>118</v>
      </c>
      <c r="G22" s="70" t="s">
        <v>119</v>
      </c>
      <c r="H22" s="70" t="s">
        <v>120</v>
      </c>
      <c r="J22" s="8"/>
      <c r="K22" s="15" t="s">
        <v>69</v>
      </c>
      <c r="L22" s="35" t="s">
        <v>70</v>
      </c>
      <c r="M22" s="37"/>
      <c r="N22" s="8"/>
      <c r="O22" s="15"/>
      <c r="P22" s="32"/>
      <c r="Q22" s="20"/>
      <c r="R22" s="8"/>
      <c r="V22" s="50"/>
      <c r="Z22" s="143" t="s">
        <v>356</v>
      </c>
      <c r="AA22" s="143" t="s">
        <v>6</v>
      </c>
      <c r="AB22" s="140" t="s">
        <v>332</v>
      </c>
      <c r="AC22" s="36"/>
      <c r="AD22" s="6"/>
      <c r="AE22" s="115" t="s">
        <v>130</v>
      </c>
      <c r="AF22" s="114">
        <f>1/4</f>
        <v>0.25</v>
      </c>
    </row>
    <row r="23" spans="2:34" x14ac:dyDescent="0.25">
      <c r="C23" s="73"/>
      <c r="F23" s="68">
        <f>SUM(F12:F22)</f>
        <v>0</v>
      </c>
      <c r="G23" s="68">
        <f t="shared" ref="G23:H23" si="2">SUM(G12:G22)</f>
        <v>1</v>
      </c>
      <c r="H23" s="68">
        <f t="shared" si="2"/>
        <v>1</v>
      </c>
      <c r="J23" s="8"/>
      <c r="K23" s="15" t="s">
        <v>72</v>
      </c>
      <c r="L23" s="35" t="s">
        <v>73</v>
      </c>
      <c r="M23" s="37"/>
      <c r="N23" s="8"/>
      <c r="O23" s="15" t="s">
        <v>74</v>
      </c>
      <c r="P23" s="35">
        <v>35</v>
      </c>
      <c r="Q23" s="17"/>
      <c r="R23" s="8"/>
      <c r="W23" s="47">
        <f t="shared" ref="W23" si="3">SUM(W12:W22)</f>
        <v>1</v>
      </c>
      <c r="Z23" s="143" t="s">
        <v>357</v>
      </c>
      <c r="AA23" s="143" t="s">
        <v>6</v>
      </c>
      <c r="AB23" s="140" t="s">
        <v>332</v>
      </c>
      <c r="AC23" s="36"/>
      <c r="AD23" s="6"/>
      <c r="AE23" s="115" t="s">
        <v>131</v>
      </c>
      <c r="AF23" s="114">
        <f>1/3</f>
        <v>0.33333333333333331</v>
      </c>
    </row>
    <row r="24" spans="2:34" x14ac:dyDescent="0.25">
      <c r="B24" s="46"/>
      <c r="C24" s="128"/>
      <c r="D24" s="128"/>
      <c r="E24" s="128"/>
      <c r="F24" s="128"/>
      <c r="G24" s="128"/>
      <c r="H24" s="128"/>
      <c r="J24" s="8"/>
      <c r="K24" s="15" t="s">
        <v>76</v>
      </c>
      <c r="L24" s="35" t="s">
        <v>77</v>
      </c>
      <c r="M24" s="37"/>
      <c r="N24" s="8"/>
      <c r="O24" s="15" t="s">
        <v>78</v>
      </c>
      <c r="P24" s="35" t="s">
        <v>79</v>
      </c>
      <c r="Q24" s="17"/>
      <c r="R24" s="8"/>
      <c r="T24" s="51"/>
      <c r="U24" s="52"/>
      <c r="V24" s="52"/>
      <c r="W24" s="52"/>
      <c r="X24" s="52"/>
      <c r="Z24" s="147" t="s">
        <v>90</v>
      </c>
      <c r="AA24" s="147" t="s">
        <v>6</v>
      </c>
      <c r="AB24" s="142" t="s">
        <v>332</v>
      </c>
      <c r="AC24" s="36"/>
      <c r="AD24" s="6"/>
      <c r="AE24" s="115" t="s">
        <v>132</v>
      </c>
      <c r="AF24" s="114">
        <f>1</f>
        <v>1</v>
      </c>
    </row>
    <row r="25" spans="2:34" x14ac:dyDescent="0.25">
      <c r="B25" s="46"/>
      <c r="C25" s="278" t="s">
        <v>122</v>
      </c>
      <c r="D25" s="279"/>
      <c r="E25" s="279"/>
      <c r="F25" s="279"/>
      <c r="G25" s="279"/>
      <c r="H25" s="279"/>
      <c r="J25" s="8"/>
      <c r="K25" s="15" t="s">
        <v>81</v>
      </c>
      <c r="L25" s="35" t="s">
        <v>82</v>
      </c>
      <c r="M25" s="37"/>
      <c r="N25" s="8"/>
      <c r="O25" s="15" t="s">
        <v>83</v>
      </c>
      <c r="P25" s="35" t="s">
        <v>84</v>
      </c>
      <c r="Q25" s="17"/>
      <c r="R25" s="8"/>
      <c r="T25" s="65" t="s">
        <v>255</v>
      </c>
      <c r="W25" s="47" t="s">
        <v>266</v>
      </c>
      <c r="X25" s="52"/>
      <c r="Z25" s="143" t="s">
        <v>95</v>
      </c>
      <c r="AA25" s="143" t="s">
        <v>6</v>
      </c>
      <c r="AB25" s="140" t="s">
        <v>332</v>
      </c>
      <c r="AC25" s="36"/>
      <c r="AD25" s="6"/>
      <c r="AE25" s="114" t="s">
        <v>133</v>
      </c>
      <c r="AF25" s="116">
        <f>F6</f>
        <v>0.5</v>
      </c>
    </row>
    <row r="26" spans="2:34" x14ac:dyDescent="0.25">
      <c r="B26" s="46"/>
      <c r="C26" s="292" t="s">
        <v>123</v>
      </c>
      <c r="D26" s="293"/>
      <c r="E26" s="293"/>
      <c r="F26" s="293"/>
      <c r="G26" s="293"/>
      <c r="H26" s="293"/>
      <c r="J26" s="8"/>
      <c r="K26" s="15" t="s">
        <v>86</v>
      </c>
      <c r="L26" s="35" t="s">
        <v>87</v>
      </c>
      <c r="M26" s="37"/>
      <c r="N26" s="8"/>
      <c r="O26" s="15" t="s">
        <v>88</v>
      </c>
      <c r="P26" s="35" t="s">
        <v>89</v>
      </c>
      <c r="Q26" s="17"/>
      <c r="R26" s="8"/>
      <c r="T26" s="47" t="s">
        <v>252</v>
      </c>
      <c r="U26" s="47" t="str">
        <f>IF(AND(G23=0%,H23=0%),IF(F23=100%,"SI","ERROR"),"NO")</f>
        <v>NO</v>
      </c>
      <c r="W26" s="47" t="str">
        <f>IF(OR(U26="ERROR",U27="ERROR",U28="ERROR"),"ERROR","OK")</f>
        <v>OK</v>
      </c>
      <c r="X26" s="52"/>
      <c r="Z26" s="143" t="s">
        <v>97</v>
      </c>
      <c r="AA26" s="143" t="s">
        <v>6</v>
      </c>
      <c r="AB26" s="140" t="s">
        <v>332</v>
      </c>
      <c r="AC26" s="36"/>
      <c r="AD26" s="6"/>
    </row>
    <row r="27" spans="2:34" x14ac:dyDescent="0.25">
      <c r="B27" s="46"/>
      <c r="C27" s="292" t="s">
        <v>124</v>
      </c>
      <c r="D27" s="293"/>
      <c r="E27" s="293"/>
      <c r="F27" s="293"/>
      <c r="G27" s="293"/>
      <c r="H27" s="293"/>
      <c r="J27" s="8"/>
      <c r="K27" s="15" t="s">
        <v>91</v>
      </c>
      <c r="L27" s="35" t="s">
        <v>92</v>
      </c>
      <c r="M27" s="37"/>
      <c r="N27" s="8"/>
      <c r="O27" s="15" t="s">
        <v>93</v>
      </c>
      <c r="P27" s="35" t="s">
        <v>94</v>
      </c>
      <c r="Q27" s="17"/>
      <c r="R27" s="8"/>
      <c r="T27" s="47" t="s">
        <v>254</v>
      </c>
      <c r="U27" s="47" t="str">
        <f>IF(F23=0%,IF(AND(G23=100%,H23=100%),"SI","ERROR"),"NO")</f>
        <v>SI</v>
      </c>
      <c r="X27" s="52"/>
      <c r="Z27" s="135" t="s">
        <v>355</v>
      </c>
      <c r="AA27" s="143" t="s">
        <v>6</v>
      </c>
      <c r="AB27" s="140" t="s">
        <v>332</v>
      </c>
      <c r="AC27" s="36"/>
      <c r="AD27" s="6"/>
    </row>
    <row r="28" spans="2:34" x14ac:dyDescent="0.25">
      <c r="B28" s="46"/>
      <c r="C28" s="292" t="s">
        <v>125</v>
      </c>
      <c r="D28" s="293"/>
      <c r="E28" s="293"/>
      <c r="F28" s="293"/>
      <c r="G28" s="293"/>
      <c r="H28" s="293"/>
      <c r="J28" s="8"/>
      <c r="K28" s="18" t="s">
        <v>96</v>
      </c>
      <c r="L28" s="35">
        <v>24</v>
      </c>
      <c r="M28" s="38">
        <f>SUM(M22:M27)</f>
        <v>0</v>
      </c>
      <c r="N28" s="8"/>
      <c r="O28" s="15"/>
      <c r="P28" s="32"/>
      <c r="Q28" s="20"/>
      <c r="R28" s="8"/>
      <c r="T28" s="47" t="s">
        <v>253</v>
      </c>
      <c r="U28" s="47" t="str">
        <f>IF(AND(F23=100%,G23=100%,H23=100%),"SI",IF(OR(AND(F23=100%,G23=0%,H23=0%),AND(F23=0%,G23=100%,H23=100%)),"NO","ERROR"))</f>
        <v>NO</v>
      </c>
      <c r="W28" s="119" t="s">
        <v>105</v>
      </c>
      <c r="X28" s="52"/>
      <c r="Z28" s="135" t="s">
        <v>310</v>
      </c>
      <c r="AA28" s="143" t="s">
        <v>6</v>
      </c>
      <c r="AB28" s="140" t="s">
        <v>332</v>
      </c>
      <c r="AC28" s="36"/>
      <c r="AD28" s="6"/>
    </row>
    <row r="29" spans="2:34" x14ac:dyDescent="0.25">
      <c r="B29" s="46"/>
      <c r="C29" s="292" t="s">
        <v>126</v>
      </c>
      <c r="D29" s="293"/>
      <c r="E29" s="293"/>
      <c r="F29" s="293"/>
      <c r="G29" s="293"/>
      <c r="H29" s="293"/>
      <c r="J29" s="8"/>
      <c r="K29" s="15" t="s">
        <v>98</v>
      </c>
      <c r="L29" s="35" t="s">
        <v>99</v>
      </c>
      <c r="M29" s="37"/>
      <c r="N29" s="8"/>
      <c r="O29" s="15" t="s">
        <v>100</v>
      </c>
      <c r="P29" s="35">
        <v>40</v>
      </c>
      <c r="Q29" s="17"/>
      <c r="R29" s="8"/>
      <c r="W29" s="120">
        <f>M16*F9</f>
        <v>118230</v>
      </c>
      <c r="X29" s="52"/>
      <c r="Z29" s="143" t="s">
        <v>101</v>
      </c>
      <c r="AA29" s="143" t="s">
        <v>7</v>
      </c>
      <c r="AB29" s="140" t="s">
        <v>333</v>
      </c>
      <c r="AC29" s="36"/>
      <c r="AD29" s="6"/>
    </row>
    <row r="30" spans="2:34" x14ac:dyDescent="0.25">
      <c r="C30" s="294" t="s">
        <v>127</v>
      </c>
      <c r="D30" s="293"/>
      <c r="E30" s="293"/>
      <c r="F30" s="293"/>
      <c r="G30" s="293"/>
      <c r="H30" s="293"/>
      <c r="J30" s="8"/>
      <c r="K30" s="15" t="s">
        <v>102</v>
      </c>
      <c r="L30" s="35" t="s">
        <v>103</v>
      </c>
      <c r="M30" s="38">
        <f>IF('RED PARENTESCO (&gt;1987)'!B9&gt;M20,M20,'RED PARENTESCO (&gt;1987)'!B9)</f>
        <v>118230</v>
      </c>
      <c r="N30" s="8"/>
      <c r="O30" s="18" t="s">
        <v>104</v>
      </c>
      <c r="P30" s="35">
        <v>41</v>
      </c>
      <c r="Q30" s="21">
        <f>Q21-Q29</f>
        <v>0</v>
      </c>
      <c r="R30" s="8"/>
      <c r="T30" s="65" t="s">
        <v>256</v>
      </c>
      <c r="U30" s="131" t="s">
        <v>134</v>
      </c>
      <c r="V30" s="47" t="s">
        <v>267</v>
      </c>
      <c r="W30" s="119" t="s">
        <v>259</v>
      </c>
      <c r="X30" s="121">
        <f>H6</f>
        <v>1</v>
      </c>
    </row>
    <row r="31" spans="2:34" x14ac:dyDescent="0.25">
      <c r="C31" s="292" t="s">
        <v>128</v>
      </c>
      <c r="D31" s="293"/>
      <c r="E31" s="293"/>
      <c r="F31" s="293"/>
      <c r="G31" s="293"/>
      <c r="H31" s="293"/>
      <c r="J31" s="8"/>
      <c r="K31" s="15" t="s">
        <v>106</v>
      </c>
      <c r="L31" s="35" t="s">
        <v>107</v>
      </c>
      <c r="M31" s="37"/>
      <c r="N31" s="8"/>
      <c r="O31" s="15" t="s">
        <v>108</v>
      </c>
      <c r="P31" s="35">
        <v>36</v>
      </c>
      <c r="Q31" s="21">
        <f>Q24+Q25</f>
        <v>0</v>
      </c>
      <c r="R31" s="8"/>
      <c r="T31" s="47" t="s">
        <v>252</v>
      </c>
      <c r="U31" s="132" t="str">
        <f>IF(U26="SI",(VLOOKUP(M2,C12:H21,3,0)+(VLOOKUP(M2,C12:H21,4,0)*(W36))),"")</f>
        <v/>
      </c>
      <c r="W31" s="120">
        <f>M16*F9*H6</f>
        <v>118230</v>
      </c>
      <c r="X31" s="52"/>
    </row>
    <row r="32" spans="2:34" x14ac:dyDescent="0.25">
      <c r="C32" s="292" t="s">
        <v>261</v>
      </c>
      <c r="D32" s="293"/>
      <c r="E32" s="293"/>
      <c r="F32" s="293"/>
      <c r="G32" s="293"/>
      <c r="H32" s="293"/>
      <c r="J32" s="8"/>
      <c r="K32" s="18" t="s">
        <v>109</v>
      </c>
      <c r="L32" s="35">
        <v>25</v>
      </c>
      <c r="M32" s="38">
        <f>SUM(M29:M31)</f>
        <v>118230</v>
      </c>
      <c r="N32" s="8"/>
      <c r="O32" s="18" t="s">
        <v>110</v>
      </c>
      <c r="P32" s="35">
        <v>42</v>
      </c>
      <c r="Q32" s="21">
        <f>IF((Q30-Q23-Q31)&lt;0,0,Q30-Q23-Q31)</f>
        <v>0</v>
      </c>
      <c r="R32" s="8"/>
      <c r="T32" s="47" t="s">
        <v>254</v>
      </c>
      <c r="U32" s="132">
        <f>IF(U27="SI",VLOOKUP(M2,C12:H21,3,0)+((VLOOKUP(M2,C12:H21,5,0)*W36*F9)+(VLOOKUP(M2,C12:H21,6,0)*W36*H9)),"")</f>
        <v>118230</v>
      </c>
      <c r="W32" s="119" t="s">
        <v>260</v>
      </c>
      <c r="X32" s="52">
        <f>1-X30</f>
        <v>0</v>
      </c>
      <c r="AC32" s="51"/>
      <c r="AD32" s="51"/>
      <c r="AE32" s="51"/>
      <c r="AF32" s="52"/>
      <c r="AG32" s="52"/>
      <c r="AH32" s="52"/>
    </row>
    <row r="33" spans="3:34" x14ac:dyDescent="0.25">
      <c r="C33" s="292" t="s">
        <v>262</v>
      </c>
      <c r="D33" s="293"/>
      <c r="E33" s="293"/>
      <c r="F33" s="293"/>
      <c r="G33" s="293"/>
      <c r="H33" s="293"/>
      <c r="J33" s="8"/>
      <c r="K33" s="15" t="s">
        <v>111</v>
      </c>
      <c r="L33" s="35">
        <v>26</v>
      </c>
      <c r="M33" s="37"/>
      <c r="N33" s="8"/>
      <c r="O33" s="15"/>
      <c r="P33" s="32"/>
      <c r="Q33" s="20"/>
      <c r="R33" s="8"/>
      <c r="T33" s="47" t="s">
        <v>273</v>
      </c>
      <c r="U33" s="132" t="str">
        <f>IF(U28="SI",VLOOKUP(M2,C12:H21,3,0)+(VLOOKUP(M2,C12:H21,4,0)*W36*(1-H6))+(VLOOKUP(M2,C12:H21,5,0)*W36*H6*F9)+(VLOOKUP(M2,C12:H21,6,0)*W36*H6*H9),"")</f>
        <v/>
      </c>
      <c r="W33" s="120">
        <f>M16*F9*(1-H6)</f>
        <v>0</v>
      </c>
      <c r="X33" s="52"/>
      <c r="Z33" s="51"/>
      <c r="AA33" s="51"/>
      <c r="AB33" s="51"/>
      <c r="AC33" s="51"/>
      <c r="AD33" s="51"/>
      <c r="AE33" s="51"/>
      <c r="AF33" s="52"/>
      <c r="AG33" s="52"/>
      <c r="AH33" s="52"/>
    </row>
    <row r="34" spans="3:34" ht="16.5" thickBot="1" x14ac:dyDescent="0.3">
      <c r="J34" s="8"/>
      <c r="K34" s="15"/>
      <c r="L34" s="32"/>
      <c r="M34" s="34"/>
      <c r="N34" s="8"/>
      <c r="O34" s="15" t="s">
        <v>112</v>
      </c>
      <c r="P34" s="39">
        <v>37</v>
      </c>
      <c r="Q34" s="40">
        <f>Q26+Q27</f>
        <v>0</v>
      </c>
      <c r="R34" s="8"/>
      <c r="U34" s="49">
        <f>(VLOOKUP(M2,C12:H21,4,0)*M16*H9)+(VLOOKUP(M2,C12:H21,5,0)*M16*F9*H6)+(VLOOKUP(M2,C12:H21,6,0)*M16*F9*(1-H6))</f>
        <v>118230</v>
      </c>
      <c r="X34" s="52"/>
      <c r="Z34" s="51"/>
      <c r="AA34" s="51"/>
      <c r="AB34" s="51"/>
      <c r="AC34" s="51"/>
      <c r="AD34" s="51"/>
      <c r="AE34" s="51"/>
      <c r="AF34" s="52"/>
      <c r="AG34" s="52"/>
      <c r="AH34" s="52"/>
    </row>
    <row r="35" spans="3:34" ht="17.25" thickTop="1" thickBot="1" x14ac:dyDescent="0.3">
      <c r="J35" s="8"/>
      <c r="K35" s="30" t="s">
        <v>113</v>
      </c>
      <c r="L35" s="41">
        <v>27</v>
      </c>
      <c r="M35" s="42">
        <f>IF((M20-M28-M32-M33)&lt;0,0,M20-M28-M32-M33)</f>
        <v>0</v>
      </c>
      <c r="N35" s="8"/>
      <c r="O35" s="43" t="s">
        <v>114</v>
      </c>
      <c r="P35" s="44">
        <v>38</v>
      </c>
      <c r="Q35" s="45">
        <f>Q32+Q34</f>
        <v>0</v>
      </c>
      <c r="R35" s="8"/>
      <c r="T35" s="129" t="s">
        <v>263</v>
      </c>
      <c r="U35" s="64"/>
      <c r="V35" s="64"/>
      <c r="W35" s="47" t="s">
        <v>268</v>
      </c>
      <c r="X35" s="52"/>
      <c r="Z35" s="51"/>
      <c r="AA35" s="51"/>
      <c r="AB35" s="51"/>
      <c r="AC35" s="51"/>
      <c r="AD35" s="51"/>
      <c r="AE35" s="51"/>
      <c r="AF35" s="52"/>
      <c r="AG35" s="52"/>
      <c r="AH35" s="52"/>
    </row>
    <row r="36" spans="3:34" x14ac:dyDescent="0.25">
      <c r="J36" s="8"/>
      <c r="K36" s="8"/>
      <c r="L36" s="32"/>
      <c r="M36" s="8"/>
      <c r="N36" s="8"/>
      <c r="O36" s="8"/>
      <c r="P36" s="32"/>
      <c r="Q36" s="25"/>
      <c r="R36" s="8"/>
      <c r="T36" s="64" t="s">
        <v>264</v>
      </c>
      <c r="U36" s="47" t="s">
        <v>265</v>
      </c>
      <c r="V36" s="64"/>
      <c r="W36" s="130">
        <f>M16-T37</f>
        <v>563000</v>
      </c>
      <c r="X36" s="52" t="s">
        <v>1005</v>
      </c>
      <c r="Z36" s="51"/>
      <c r="AA36" s="51"/>
      <c r="AB36" s="51"/>
      <c r="AC36" s="51"/>
      <c r="AD36" s="51"/>
      <c r="AE36" s="51"/>
      <c r="AF36" s="52"/>
      <c r="AG36" s="52"/>
      <c r="AH36" s="52"/>
    </row>
    <row r="37" spans="3:34" x14ac:dyDescent="0.25">
      <c r="T37" s="130">
        <f>SUM(E12:E21)</f>
        <v>0</v>
      </c>
      <c r="U37" s="130">
        <f>VLOOKUP(M2,C12:H21,3,0)</f>
        <v>0</v>
      </c>
      <c r="V37" s="64"/>
      <c r="W37" s="64"/>
      <c r="X37" s="52"/>
      <c r="Z37" s="51"/>
      <c r="AA37" s="51"/>
      <c r="AB37" s="51"/>
      <c r="AC37" s="52"/>
      <c r="AD37" s="52"/>
      <c r="AE37" s="52"/>
      <c r="AF37" s="52"/>
      <c r="AG37" s="52"/>
      <c r="AH37" s="52"/>
    </row>
    <row r="38" spans="3:34" x14ac:dyDescent="0.25">
      <c r="T38" s="64"/>
      <c r="U38" s="64"/>
      <c r="V38" s="64"/>
      <c r="W38" s="64"/>
      <c r="X38" s="52"/>
      <c r="Z38" s="51"/>
      <c r="AA38" s="51"/>
      <c r="AB38" s="51"/>
      <c r="AC38" s="52"/>
      <c r="AD38" s="52"/>
      <c r="AE38" s="52"/>
      <c r="AF38" s="52"/>
      <c r="AG38" s="52"/>
      <c r="AH38" s="52"/>
    </row>
    <row r="39" spans="3:34" x14ac:dyDescent="0.25">
      <c r="T39" s="129" t="s">
        <v>269</v>
      </c>
      <c r="U39" s="64"/>
      <c r="V39" s="64"/>
      <c r="W39" s="64"/>
      <c r="X39" s="52"/>
      <c r="Z39" s="51"/>
      <c r="AA39" s="51"/>
      <c r="AB39" s="51"/>
      <c r="AC39" s="52"/>
      <c r="AD39" s="52"/>
      <c r="AE39" s="53"/>
      <c r="AF39" s="52"/>
      <c r="AG39" s="52"/>
      <c r="AH39" s="52"/>
    </row>
    <row r="40" spans="3:34" x14ac:dyDescent="0.25">
      <c r="T40" s="64" t="str">
        <f>IF(M35&gt;0,"SI","EXENTA")</f>
        <v>EXENTA</v>
      </c>
      <c r="U40" s="64"/>
      <c r="V40" s="64"/>
      <c r="W40" s="64"/>
      <c r="X40" s="52"/>
      <c r="Z40" s="51"/>
      <c r="AA40" s="51"/>
      <c r="AB40" s="51"/>
      <c r="AC40" s="52"/>
      <c r="AD40" s="52"/>
      <c r="AE40" s="52"/>
      <c r="AF40" s="52"/>
      <c r="AG40" s="52"/>
      <c r="AH40" s="3"/>
    </row>
    <row r="41" spans="3:34" x14ac:dyDescent="0.25">
      <c r="K41" s="47"/>
      <c r="L41" s="47"/>
      <c r="M41" s="47"/>
      <c r="T41" s="64" t="s">
        <v>270</v>
      </c>
      <c r="U41" s="64"/>
      <c r="V41" s="64" t="s">
        <v>271</v>
      </c>
      <c r="W41" s="64"/>
      <c r="X41" s="52"/>
      <c r="Z41" s="51"/>
      <c r="AA41" s="51"/>
      <c r="AB41" s="51"/>
      <c r="AC41" s="52"/>
      <c r="AD41" s="52"/>
      <c r="AE41" s="52"/>
      <c r="AF41" s="52"/>
      <c r="AG41" s="52"/>
      <c r="AH41" s="3"/>
    </row>
    <row r="42" spans="3:34" x14ac:dyDescent="0.25">
      <c r="K42" s="49"/>
      <c r="L42" s="65"/>
      <c r="M42" s="47"/>
      <c r="T42" s="64" t="str">
        <f>IF(W26="ERROR","",IF(U26="SI","NO","SI"))</f>
        <v>SI</v>
      </c>
      <c r="U42" s="134"/>
      <c r="V42" s="130">
        <f>M16-T37</f>
        <v>563000</v>
      </c>
      <c r="W42" s="52" t="s">
        <v>1005</v>
      </c>
      <c r="X42" s="52"/>
      <c r="Z42" s="51"/>
      <c r="AA42" s="51"/>
      <c r="AB42" s="51"/>
      <c r="AC42" s="52"/>
      <c r="AD42" s="52"/>
      <c r="AE42" s="52"/>
      <c r="AF42" s="52"/>
      <c r="AG42" s="52"/>
      <c r="AH42" s="3"/>
    </row>
    <row r="43" spans="3:34" x14ac:dyDescent="0.25">
      <c r="K43" s="49"/>
      <c r="L43" s="65"/>
      <c r="M43" s="47"/>
      <c r="T43" s="133"/>
      <c r="U43" s="64"/>
      <c r="V43" s="64" t="s">
        <v>272</v>
      </c>
      <c r="W43" s="64"/>
      <c r="X43" s="52"/>
      <c r="Z43" s="51"/>
      <c r="AA43" s="51"/>
      <c r="AB43" s="51"/>
      <c r="AC43" s="52"/>
      <c r="AD43" s="52"/>
      <c r="AE43" s="52"/>
      <c r="AF43" s="52"/>
      <c r="AG43" s="52"/>
      <c r="AH43" s="52"/>
    </row>
    <row r="44" spans="3:34" x14ac:dyDescent="0.25">
      <c r="K44" s="49"/>
      <c r="L44" s="65"/>
      <c r="M44" s="47"/>
      <c r="T44" s="133"/>
      <c r="U44" s="47" t="s">
        <v>254</v>
      </c>
      <c r="V44" s="130">
        <f>IF(U27="SI",VLOOKUP(M2,C12:H21,3,0)+((VLOOKUP(M2,C12:H21,6,0)*W36)),"")</f>
        <v>0</v>
      </c>
      <c r="W44" s="64"/>
      <c r="Z44" s="51"/>
      <c r="AA44" s="51"/>
      <c r="AB44" s="51"/>
    </row>
    <row r="45" spans="3:34" x14ac:dyDescent="0.25">
      <c r="T45" s="133"/>
      <c r="U45" s="47" t="s">
        <v>273</v>
      </c>
      <c r="V45" s="130" t="str">
        <f>IF(U28="SI",VLOOKUP(M2,C12:H21,3,0)+(VLOOKUP(M2,C12:H21,4,0)*W36*(1-H6))+(VLOOKUP(M2,C12:H21,5,0)*W36*H6*0)+(VLOOKUP(M2,C12:H21,6,0)*W36*H6*1),"")</f>
        <v/>
      </c>
      <c r="W45" s="64"/>
      <c r="Z45" s="51"/>
      <c r="AA45" s="51"/>
      <c r="AB45" s="51"/>
    </row>
    <row r="46" spans="3:34" x14ac:dyDescent="0.25">
      <c r="T46" s="133"/>
      <c r="U46" s="64"/>
      <c r="V46" s="130"/>
      <c r="W46" s="64"/>
      <c r="Z46" s="51"/>
      <c r="AA46" s="51"/>
      <c r="AB46" s="51"/>
    </row>
    <row r="47" spans="3:34" x14ac:dyDescent="0.25">
      <c r="T47" s="133"/>
      <c r="U47" s="64"/>
      <c r="V47" s="64"/>
      <c r="W47" s="64"/>
      <c r="Z47" s="51"/>
      <c r="AA47" s="51"/>
      <c r="AB47" s="51"/>
    </row>
    <row r="48" spans="3:34" x14ac:dyDescent="0.25">
      <c r="T48" s="133"/>
      <c r="U48" s="64"/>
      <c r="V48" s="64"/>
      <c r="W48" s="64"/>
      <c r="Z48" s="51"/>
      <c r="AA48" s="51"/>
      <c r="AB48" s="51"/>
    </row>
    <row r="49" spans="20:23" x14ac:dyDescent="0.25">
      <c r="T49" s="133"/>
      <c r="U49" s="64"/>
      <c r="V49" s="64"/>
      <c r="W49" s="64"/>
    </row>
    <row r="50" spans="20:23" x14ac:dyDescent="0.25">
      <c r="T50" s="133"/>
      <c r="U50" s="64"/>
      <c r="V50" s="64"/>
      <c r="W50" s="64"/>
    </row>
    <row r="51" spans="20:23" x14ac:dyDescent="0.25">
      <c r="T51" s="64"/>
      <c r="U51" s="64"/>
      <c r="V51" s="64"/>
      <c r="W51" s="64"/>
    </row>
    <row r="52" spans="20:23" x14ac:dyDescent="0.25">
      <c r="T52" s="64"/>
      <c r="U52" s="64"/>
      <c r="V52" s="64"/>
      <c r="W52" s="64"/>
    </row>
    <row r="53" spans="20:23" x14ac:dyDescent="0.25">
      <c r="T53" s="64"/>
      <c r="U53" s="64"/>
      <c r="V53" s="64"/>
      <c r="W53" s="64"/>
    </row>
    <row r="54" spans="20:23" x14ac:dyDescent="0.25">
      <c r="T54" s="64"/>
      <c r="U54" s="64"/>
      <c r="V54" s="64"/>
      <c r="W54" s="64"/>
    </row>
    <row r="55" spans="20:23" x14ac:dyDescent="0.25">
      <c r="T55" s="64"/>
      <c r="U55" s="64"/>
      <c r="V55" s="64"/>
      <c r="W55" s="64"/>
    </row>
    <row r="56" spans="20:23" x14ac:dyDescent="0.25">
      <c r="T56" s="64"/>
      <c r="U56" s="64"/>
      <c r="V56" s="64"/>
      <c r="W56" s="64"/>
    </row>
  </sheetData>
  <sheetProtection sheet="1" selectLockedCells="1"/>
  <mergeCells count="19">
    <mergeCell ref="C32:H32"/>
    <mergeCell ref="C33:H33"/>
    <mergeCell ref="C26:H26"/>
    <mergeCell ref="C27:H27"/>
    <mergeCell ref="C28:H28"/>
    <mergeCell ref="C29:H29"/>
    <mergeCell ref="C30:H30"/>
    <mergeCell ref="C31:H31"/>
    <mergeCell ref="C25:H25"/>
    <mergeCell ref="C2:D2"/>
    <mergeCell ref="Z2:AC2"/>
    <mergeCell ref="C3:D3"/>
    <mergeCell ref="C5:D5"/>
    <mergeCell ref="C6:D6"/>
    <mergeCell ref="C8:D8"/>
    <mergeCell ref="C9:D9"/>
    <mergeCell ref="F2:H2"/>
    <mergeCell ref="F3:H3"/>
    <mergeCell ref="E5:H5"/>
  </mergeCells>
  <phoneticPr fontId="8" type="noConversion"/>
  <conditionalFormatting sqref="F23">
    <cfRule type="expression" dxfId="54" priority="6">
      <formula>IF($F$23=0%,TRUE,FALSE)</formula>
    </cfRule>
    <cfRule type="expression" dxfId="53" priority="13">
      <formula>IF(OR($F$23=0%,$F$23=100%),FALSE,TRUE)</formula>
    </cfRule>
  </conditionalFormatting>
  <conditionalFormatting sqref="G23">
    <cfRule type="expression" dxfId="52" priority="5">
      <formula>IF($G$23=0%,TRUE,FALSE)</formula>
    </cfRule>
    <cfRule type="expression" dxfId="51" priority="12">
      <formula>IF(OR($G$23=0%,$G$23=100%),FALSE,TRUE)</formula>
    </cfRule>
  </conditionalFormatting>
  <conditionalFormatting sqref="H23">
    <cfRule type="expression" dxfId="50" priority="7">
      <formula>IF($H$23=0%,TRUE,FALSE)</formula>
    </cfRule>
    <cfRule type="expression" dxfId="49" priority="11">
      <formula>IF($H$23=100%,FALSE,TRUE)</formula>
    </cfRule>
  </conditionalFormatting>
  <conditionalFormatting sqref="M5:M35 Q5:Q35">
    <cfRule type="expression" dxfId="48" priority="3">
      <formula>IF($O$2="ERROR EN EL REPARTO",TRUE,FALSE)</formula>
    </cfRule>
    <cfRule type="expression" dxfId="47" priority="14">
      <formula>IF($O$2="SUJETO NO ENCONTRADO",TRUE,FALSE)</formula>
    </cfRule>
  </conditionalFormatting>
  <conditionalFormatting sqref="O2">
    <cfRule type="expression" dxfId="46" priority="8">
      <formula>IF(ISERROR($M$35),TRUE,FALSE)</formula>
    </cfRule>
  </conditionalFormatting>
  <conditionalFormatting sqref="F6">
    <cfRule type="expression" dxfId="45" priority="4">
      <formula>IF($E$6="Indicar %",FALSE,TRUE)</formula>
    </cfRule>
  </conditionalFormatting>
  <conditionalFormatting sqref="Q5:Q35">
    <cfRule type="expression" dxfId="44" priority="1">
      <formula>IF($O$2="ERROR EN EL REPARTO",TRUE,FALSE)</formula>
    </cfRule>
  </conditionalFormatting>
  <dataValidations count="6">
    <dataValidation type="list" allowBlank="1" showInputMessage="1" showErrorMessage="1" sqref="M2">
      <formula1>$C$12:$C$21</formula1>
    </dataValidation>
    <dataValidation type="list" allowBlank="1" showInputMessage="1" showErrorMessage="1" sqref="F3">
      <formula1>$Z$4:$Z$7</formula1>
    </dataValidation>
    <dataValidation type="list" allowBlank="1" showInputMessage="1" showErrorMessage="1" sqref="E6">
      <formula1>$AE$22:$AE$25</formula1>
    </dataValidation>
    <dataValidation type="list" allowBlank="1" showInputMessage="1" showErrorMessage="1" sqref="D22">
      <formula1>$Z$11:$Z$25</formula1>
    </dataValidation>
    <dataValidation type="list" allowBlank="1" showInputMessage="1" showErrorMessage="1" sqref="D12:D21">
      <formula1>$Z$11:$Z$29</formula1>
    </dataValidation>
    <dataValidation type="list" allowBlank="1" showInputMessage="1" showErrorMessage="1" sqref="O2">
      <formula1>"Causante CON testamento, Causante SIN testamento"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62"/>
  <sheetViews>
    <sheetView workbookViewId="0">
      <selection activeCell="B3" sqref="B3"/>
    </sheetView>
  </sheetViews>
  <sheetFormatPr baseColWidth="10" defaultRowHeight="15" x14ac:dyDescent="0.25"/>
  <cols>
    <col min="1" max="1" width="3.5703125" style="198" customWidth="1"/>
    <col min="2" max="2" width="42.85546875" style="198" customWidth="1"/>
    <col min="3" max="3" width="21.42578125" style="199" customWidth="1"/>
    <col min="4" max="4" width="85.7109375" style="199" customWidth="1"/>
    <col min="5" max="5" width="9.5703125" style="199" customWidth="1"/>
    <col min="6" max="6" width="64.28515625" style="199" customWidth="1"/>
    <col min="7" max="7" width="11.42578125" style="198"/>
    <col min="8" max="9" width="22" style="198" hidden="1" customWidth="1"/>
    <col min="10" max="10" width="61" style="198" hidden="1" customWidth="1"/>
    <col min="11" max="11" width="4.28515625" style="200" hidden="1" customWidth="1"/>
    <col min="12" max="12" width="32.7109375" style="198" hidden="1" customWidth="1"/>
    <col min="13" max="13" width="16" style="198" hidden="1" customWidth="1"/>
    <col min="14" max="14" width="54.28515625" style="198" hidden="1" customWidth="1"/>
    <col min="15" max="15" width="9" style="201" hidden="1" customWidth="1"/>
    <col min="16" max="16" width="9" style="198" hidden="1" customWidth="1"/>
    <col min="17" max="17" width="21.28515625" style="198" hidden="1" customWidth="1"/>
    <col min="18" max="18" width="13.5703125" style="198" hidden="1" customWidth="1"/>
    <col min="19" max="19" width="61.7109375" style="198" hidden="1" customWidth="1"/>
    <col min="20" max="20" width="9" style="198" hidden="1" customWidth="1"/>
    <col min="21" max="21" width="61" style="198" hidden="1" customWidth="1"/>
    <col min="22" max="22" width="40.5703125" style="198" hidden="1" customWidth="1"/>
    <col min="23" max="23" width="0" style="198" hidden="1" customWidth="1"/>
    <col min="24" max="16384" width="11.42578125" style="198"/>
  </cols>
  <sheetData>
    <row r="1" spans="2:23" ht="18.75" customHeight="1" x14ac:dyDescent="0.25">
      <c r="L1" s="198" t="s">
        <v>422</v>
      </c>
      <c r="M1" s="198" t="b">
        <f>IF(C3="A Coruña",IF(ISERROR(VLOOKUP(B3,L4:O98,4,0)),FALSE,TRUE),FALSE)</f>
        <v>0</v>
      </c>
    </row>
    <row r="2" spans="2:23" ht="18.75" x14ac:dyDescent="0.3">
      <c r="B2" s="202" t="s">
        <v>423</v>
      </c>
      <c r="C2" s="202" t="s">
        <v>424</v>
      </c>
      <c r="D2" s="203" t="s">
        <v>425</v>
      </c>
      <c r="E2" s="204" t="s">
        <v>426</v>
      </c>
      <c r="F2" s="205" t="s">
        <v>427</v>
      </c>
      <c r="L2" s="198" t="s">
        <v>428</v>
      </c>
      <c r="M2" s="198" t="b">
        <f>IF(ISERROR(IF(C3="A Coruña",VLOOKUP(B3,L4:O98,3,0),VLOOKUP(B3,Q4:S37,3,0))),FALSE,TRUE)</f>
        <v>0</v>
      </c>
    </row>
    <row r="3" spans="2:23" s="1" customFormat="1" ht="37.5" customHeight="1" x14ac:dyDescent="0.25">
      <c r="B3" s="206" t="s">
        <v>1002</v>
      </c>
      <c r="C3" s="207" t="str">
        <f>IF(ISBLANK(B3),"",VLOOKUP(B3,H4:J362,2,0))</f>
        <v>Pontevedra</v>
      </c>
      <c r="D3" s="208" t="str">
        <f>IF(ISBLANK(B3),"",VLOOKUP(B3,H4:J362,3,0))</f>
        <v>Delegación da Axencia Tributaria de Galicia en Vigo</v>
      </c>
      <c r="E3" s="208">
        <f>IF(ISBLANK(B3),"",VLOOKUP(D3,U4:W8,3,0))</f>
        <v>54</v>
      </c>
      <c r="F3" s="208" t="str">
        <f>IF(ISBLANK(B3),"",VLOOKUP(D3,U4:V51,2,0))</f>
        <v>Rúa Concepción Arenal, 8</v>
      </c>
      <c r="H3" s="209" t="s">
        <v>429</v>
      </c>
      <c r="I3" s="209" t="s">
        <v>430</v>
      </c>
      <c r="J3" s="209" t="s">
        <v>431</v>
      </c>
      <c r="K3" s="210"/>
      <c r="L3" s="209" t="s">
        <v>429</v>
      </c>
      <c r="M3" s="209" t="s">
        <v>430</v>
      </c>
      <c r="N3" s="209" t="s">
        <v>432</v>
      </c>
      <c r="O3" s="211" t="s">
        <v>433</v>
      </c>
      <c r="Q3" s="209" t="s">
        <v>429</v>
      </c>
      <c r="R3" s="209" t="s">
        <v>430</v>
      </c>
      <c r="S3" s="209" t="s">
        <v>434</v>
      </c>
      <c r="U3" s="212" t="s">
        <v>435</v>
      </c>
      <c r="V3" s="212" t="s">
        <v>436</v>
      </c>
    </row>
    <row r="4" spans="2:23" ht="18.75" x14ac:dyDescent="0.3">
      <c r="B4" s="295" t="s">
        <v>172</v>
      </c>
      <c r="C4" s="295"/>
      <c r="D4" s="213" t="str">
        <f>IF(M1,"Oficina liquidadora de",IF(M2,"Puede presentar alternativamente en",""))</f>
        <v/>
      </c>
      <c r="E4" s="213" t="s">
        <v>437</v>
      </c>
      <c r="F4" s="213" t="s">
        <v>427</v>
      </c>
      <c r="H4" s="198" t="s">
        <v>438</v>
      </c>
      <c r="I4" s="198" t="s">
        <v>439</v>
      </c>
      <c r="J4" s="198" t="s">
        <v>440</v>
      </c>
      <c r="L4" s="198" t="s">
        <v>441</v>
      </c>
      <c r="M4" s="198" t="s">
        <v>442</v>
      </c>
      <c r="N4" s="198" t="s">
        <v>443</v>
      </c>
      <c r="O4" s="201">
        <v>1</v>
      </c>
      <c r="Q4" s="198" t="s">
        <v>444</v>
      </c>
      <c r="R4" s="198" t="s">
        <v>445</v>
      </c>
      <c r="S4" s="198" t="s">
        <v>446</v>
      </c>
      <c r="T4" s="200"/>
      <c r="U4" s="198" t="s">
        <v>447</v>
      </c>
      <c r="V4" s="198" t="s">
        <v>448</v>
      </c>
      <c r="W4" s="200">
        <v>15</v>
      </c>
    </row>
    <row r="5" spans="2:23" ht="37.5" customHeight="1" x14ac:dyDescent="0.25">
      <c r="B5" s="296" t="s">
        <v>449</v>
      </c>
      <c r="C5" s="297"/>
      <c r="D5" s="214" t="str">
        <f>IF(M1=FALSE,IF(M2=FALSE,"",VLOOKUP(B3,Q4:S37,3,0)),IF(C3="A Coruña",VLOOKUP(B3,L4:O98,3,0),VLOOKUP(B3,Q4:S37,3,0)))</f>
        <v/>
      </c>
      <c r="E5" s="215" t="str">
        <f>IF(M1=FALSE,"",IF(C3="A Coruña",VLOOKUP(B3,L4:O98,4,0),""))</f>
        <v/>
      </c>
      <c r="F5" s="214" t="str">
        <f>IF(M1=FALSE,IF(M2=FALSE,"",VLOOKUP(D5,U4:V51,2,0)),VLOOKUP(D5,U4:V51,2,0))</f>
        <v/>
      </c>
      <c r="H5" s="198" t="s">
        <v>450</v>
      </c>
      <c r="I5" s="198" t="s">
        <v>442</v>
      </c>
      <c r="J5" s="198" t="s">
        <v>447</v>
      </c>
      <c r="L5" s="198" t="s">
        <v>451</v>
      </c>
      <c r="M5" s="198" t="s">
        <v>442</v>
      </c>
      <c r="N5" s="198" t="s">
        <v>443</v>
      </c>
      <c r="O5" s="201">
        <v>1</v>
      </c>
      <c r="Q5" s="198" t="s">
        <v>452</v>
      </c>
      <c r="R5" s="198" t="s">
        <v>445</v>
      </c>
      <c r="S5" s="198" t="s">
        <v>446</v>
      </c>
      <c r="T5" s="200"/>
      <c r="U5" s="198" t="s">
        <v>453</v>
      </c>
      <c r="V5" s="198" t="s">
        <v>454</v>
      </c>
      <c r="W5" s="200">
        <v>27</v>
      </c>
    </row>
    <row r="6" spans="2:23" x14ac:dyDescent="0.25">
      <c r="H6" s="198" t="s">
        <v>455</v>
      </c>
      <c r="I6" s="198" t="s">
        <v>439</v>
      </c>
      <c r="J6" s="198" t="s">
        <v>440</v>
      </c>
      <c r="L6" s="198" t="s">
        <v>456</v>
      </c>
      <c r="M6" s="198" t="s">
        <v>442</v>
      </c>
      <c r="N6" s="198" t="s">
        <v>443</v>
      </c>
      <c r="O6" s="201">
        <v>1</v>
      </c>
      <c r="Q6" s="198" t="s">
        <v>457</v>
      </c>
      <c r="R6" s="198" t="s">
        <v>445</v>
      </c>
      <c r="S6" s="198" t="s">
        <v>458</v>
      </c>
      <c r="T6" s="200"/>
      <c r="U6" s="198" t="s">
        <v>440</v>
      </c>
      <c r="V6" s="198" t="s">
        <v>459</v>
      </c>
      <c r="W6" s="200">
        <v>32</v>
      </c>
    </row>
    <row r="7" spans="2:23" x14ac:dyDescent="0.25">
      <c r="B7" s="296" t="s">
        <v>460</v>
      </c>
      <c r="C7" s="298"/>
      <c r="H7" s="198" t="s">
        <v>461</v>
      </c>
      <c r="I7" s="198" t="s">
        <v>462</v>
      </c>
      <c r="J7" s="198" t="s">
        <v>463</v>
      </c>
      <c r="L7" s="198" t="s">
        <v>464</v>
      </c>
      <c r="M7" s="198" t="s">
        <v>442</v>
      </c>
      <c r="N7" s="198" t="s">
        <v>443</v>
      </c>
      <c r="O7" s="201">
        <v>1</v>
      </c>
      <c r="Q7" s="198" t="s">
        <v>465</v>
      </c>
      <c r="R7" s="198" t="s">
        <v>445</v>
      </c>
      <c r="S7" s="198" t="s">
        <v>466</v>
      </c>
      <c r="T7" s="200"/>
      <c r="U7" s="198" t="s">
        <v>467</v>
      </c>
      <c r="V7" s="198" t="s">
        <v>468</v>
      </c>
      <c r="W7" s="200">
        <v>36</v>
      </c>
    </row>
    <row r="8" spans="2:23" x14ac:dyDescent="0.25">
      <c r="B8" s="299"/>
      <c r="C8" s="299"/>
      <c r="H8" s="198" t="s">
        <v>469</v>
      </c>
      <c r="I8" s="198" t="s">
        <v>442</v>
      </c>
      <c r="J8" s="198" t="s">
        <v>447</v>
      </c>
      <c r="L8" s="198" t="s">
        <v>470</v>
      </c>
      <c r="M8" s="198" t="s">
        <v>442</v>
      </c>
      <c r="N8" s="198" t="s">
        <v>443</v>
      </c>
      <c r="O8" s="201">
        <v>1</v>
      </c>
      <c r="Q8" s="198" t="s">
        <v>471</v>
      </c>
      <c r="R8" s="198" t="s">
        <v>445</v>
      </c>
      <c r="S8" s="198" t="s">
        <v>472</v>
      </c>
      <c r="T8" s="200"/>
      <c r="U8" s="198" t="s">
        <v>463</v>
      </c>
      <c r="V8" s="198" t="s">
        <v>473</v>
      </c>
      <c r="W8" s="200">
        <v>54</v>
      </c>
    </row>
    <row r="9" spans="2:23" x14ac:dyDescent="0.25">
      <c r="B9" s="299"/>
      <c r="C9" s="299"/>
      <c r="H9" s="198" t="s">
        <v>442</v>
      </c>
      <c r="I9" s="198" t="s">
        <v>442</v>
      </c>
      <c r="J9" s="198" t="s">
        <v>447</v>
      </c>
      <c r="L9" s="198" t="s">
        <v>474</v>
      </c>
      <c r="M9" s="198" t="s">
        <v>442</v>
      </c>
      <c r="N9" s="198" t="s">
        <v>443</v>
      </c>
      <c r="O9" s="201">
        <v>1</v>
      </c>
      <c r="Q9" s="198" t="s">
        <v>475</v>
      </c>
      <c r="R9" s="198" t="s">
        <v>445</v>
      </c>
      <c r="S9" s="198" t="s">
        <v>476</v>
      </c>
      <c r="T9" s="200"/>
      <c r="U9" s="198" t="s">
        <v>477</v>
      </c>
      <c r="V9" s="198" t="s">
        <v>478</v>
      </c>
    </row>
    <row r="10" spans="2:23" x14ac:dyDescent="0.25">
      <c r="B10" s="299"/>
      <c r="C10" s="299"/>
      <c r="H10" s="198" t="s">
        <v>479</v>
      </c>
      <c r="I10" s="198" t="s">
        <v>462</v>
      </c>
      <c r="J10" s="198" t="s">
        <v>467</v>
      </c>
      <c r="L10" s="198" t="s">
        <v>480</v>
      </c>
      <c r="M10" s="198" t="s">
        <v>442</v>
      </c>
      <c r="N10" s="198" t="s">
        <v>443</v>
      </c>
      <c r="O10" s="201">
        <v>1</v>
      </c>
      <c r="Q10" s="198" t="s">
        <v>481</v>
      </c>
      <c r="R10" s="198" t="s">
        <v>445</v>
      </c>
      <c r="S10" s="198" t="s">
        <v>482</v>
      </c>
      <c r="T10" s="200"/>
      <c r="U10" s="198" t="s">
        <v>483</v>
      </c>
      <c r="V10" s="198" t="s">
        <v>484</v>
      </c>
    </row>
    <row r="11" spans="2:23" x14ac:dyDescent="0.25">
      <c r="B11" s="299"/>
      <c r="C11" s="299"/>
      <c r="H11" s="198" t="s">
        <v>444</v>
      </c>
      <c r="I11" s="198" t="s">
        <v>445</v>
      </c>
      <c r="J11" s="198" t="s">
        <v>453</v>
      </c>
      <c r="L11" s="198" t="s">
        <v>485</v>
      </c>
      <c r="M11" s="198" t="s">
        <v>442</v>
      </c>
      <c r="N11" s="198" t="s">
        <v>443</v>
      </c>
      <c r="O11" s="201">
        <v>1</v>
      </c>
      <c r="Q11" s="198" t="s">
        <v>486</v>
      </c>
      <c r="R11" s="198" t="s">
        <v>445</v>
      </c>
      <c r="S11" s="198" t="s">
        <v>487</v>
      </c>
      <c r="T11" s="200"/>
      <c r="U11" s="198" t="s">
        <v>488</v>
      </c>
      <c r="V11" s="198" t="s">
        <v>489</v>
      </c>
    </row>
    <row r="12" spans="2:23" x14ac:dyDescent="0.25">
      <c r="H12" s="198" t="s">
        <v>490</v>
      </c>
      <c r="I12" s="198" t="s">
        <v>462</v>
      </c>
      <c r="J12" s="198" t="s">
        <v>463</v>
      </c>
      <c r="L12" s="198" t="s">
        <v>491</v>
      </c>
      <c r="M12" s="198" t="s">
        <v>442</v>
      </c>
      <c r="N12" s="198" t="s">
        <v>443</v>
      </c>
      <c r="O12" s="201">
        <v>1</v>
      </c>
      <c r="Q12" s="198" t="s">
        <v>492</v>
      </c>
      <c r="R12" s="198" t="s">
        <v>445</v>
      </c>
      <c r="S12" s="198" t="s">
        <v>493</v>
      </c>
      <c r="T12" s="200"/>
      <c r="U12" s="198" t="s">
        <v>494</v>
      </c>
      <c r="V12" s="198" t="s">
        <v>495</v>
      </c>
    </row>
    <row r="13" spans="2:23" x14ac:dyDescent="0.25">
      <c r="H13" s="198" t="s">
        <v>496</v>
      </c>
      <c r="I13" s="198" t="s">
        <v>439</v>
      </c>
      <c r="J13" s="198" t="s">
        <v>440</v>
      </c>
      <c r="L13" s="198" t="s">
        <v>497</v>
      </c>
      <c r="M13" s="198" t="s">
        <v>442</v>
      </c>
      <c r="N13" s="198" t="s">
        <v>443</v>
      </c>
      <c r="O13" s="201">
        <v>1</v>
      </c>
      <c r="Q13" s="198" t="s">
        <v>498</v>
      </c>
      <c r="R13" s="198" t="s">
        <v>445</v>
      </c>
      <c r="S13" s="198" t="s">
        <v>499</v>
      </c>
      <c r="T13" s="200"/>
      <c r="U13" s="198" t="s">
        <v>500</v>
      </c>
      <c r="V13" s="198" t="s">
        <v>501</v>
      </c>
    </row>
    <row r="14" spans="2:23" x14ac:dyDescent="0.25">
      <c r="H14" s="198" t="s">
        <v>502</v>
      </c>
      <c r="I14" s="198" t="s">
        <v>462</v>
      </c>
      <c r="J14" s="198" t="s">
        <v>467</v>
      </c>
      <c r="L14" s="198" t="s">
        <v>503</v>
      </c>
      <c r="M14" s="198" t="s">
        <v>442</v>
      </c>
      <c r="N14" s="198" t="s">
        <v>504</v>
      </c>
      <c r="O14" s="201">
        <v>2</v>
      </c>
      <c r="Q14" s="198" t="s">
        <v>505</v>
      </c>
      <c r="R14" s="198" t="s">
        <v>445</v>
      </c>
      <c r="S14" s="198" t="s">
        <v>506</v>
      </c>
      <c r="T14" s="200"/>
      <c r="U14" s="198" t="s">
        <v>507</v>
      </c>
      <c r="V14" s="198" t="s">
        <v>508</v>
      </c>
    </row>
    <row r="15" spans="2:23" x14ac:dyDescent="0.25">
      <c r="H15" s="198" t="s">
        <v>509</v>
      </c>
      <c r="I15" s="198" t="s">
        <v>462</v>
      </c>
      <c r="J15" s="198" t="s">
        <v>467</v>
      </c>
      <c r="L15" s="198" t="s">
        <v>510</v>
      </c>
      <c r="M15" s="198" t="s">
        <v>442</v>
      </c>
      <c r="N15" s="198" t="s">
        <v>504</v>
      </c>
      <c r="O15" s="201">
        <v>2</v>
      </c>
      <c r="Q15" s="198" t="s">
        <v>511</v>
      </c>
      <c r="R15" s="198" t="s">
        <v>439</v>
      </c>
      <c r="S15" s="198" t="s">
        <v>512</v>
      </c>
      <c r="T15" s="200"/>
      <c r="U15" s="198" t="s">
        <v>513</v>
      </c>
      <c r="V15" s="198" t="s">
        <v>514</v>
      </c>
    </row>
    <row r="16" spans="2:23" x14ac:dyDescent="0.25">
      <c r="H16" s="198" t="s">
        <v>515</v>
      </c>
      <c r="I16" s="198" t="s">
        <v>442</v>
      </c>
      <c r="J16" s="198" t="s">
        <v>447</v>
      </c>
      <c r="L16" s="198" t="s">
        <v>516</v>
      </c>
      <c r="M16" s="198" t="s">
        <v>442</v>
      </c>
      <c r="N16" s="198" t="s">
        <v>504</v>
      </c>
      <c r="O16" s="201">
        <v>2</v>
      </c>
      <c r="Q16" s="198" t="s">
        <v>517</v>
      </c>
      <c r="R16" s="198" t="s">
        <v>439</v>
      </c>
      <c r="S16" s="198" t="s">
        <v>512</v>
      </c>
      <c r="T16" s="200"/>
      <c r="U16" s="198" t="s">
        <v>518</v>
      </c>
      <c r="V16" s="198" t="s">
        <v>519</v>
      </c>
    </row>
    <row r="17" spans="8:22" x14ac:dyDescent="0.25">
      <c r="H17" s="198" t="s">
        <v>520</v>
      </c>
      <c r="I17" s="198" t="s">
        <v>439</v>
      </c>
      <c r="J17" s="198" t="s">
        <v>440</v>
      </c>
      <c r="L17" s="198" t="s">
        <v>521</v>
      </c>
      <c r="M17" s="198" t="s">
        <v>442</v>
      </c>
      <c r="N17" s="198" t="s">
        <v>504</v>
      </c>
      <c r="O17" s="201">
        <v>2</v>
      </c>
      <c r="Q17" s="198" t="s">
        <v>522</v>
      </c>
      <c r="R17" s="198" t="s">
        <v>439</v>
      </c>
      <c r="S17" s="198" t="s">
        <v>523</v>
      </c>
      <c r="T17" s="200"/>
      <c r="U17" s="198" t="s">
        <v>524</v>
      </c>
      <c r="V17" s="198" t="s">
        <v>525</v>
      </c>
    </row>
    <row r="18" spans="8:22" x14ac:dyDescent="0.25">
      <c r="H18" s="198" t="s">
        <v>526</v>
      </c>
      <c r="I18" s="198" t="s">
        <v>439</v>
      </c>
      <c r="J18" s="198" t="s">
        <v>440</v>
      </c>
      <c r="L18" s="198" t="s">
        <v>527</v>
      </c>
      <c r="M18" s="198" t="s">
        <v>442</v>
      </c>
      <c r="N18" s="198" t="s">
        <v>504</v>
      </c>
      <c r="O18" s="201">
        <v>2</v>
      </c>
      <c r="Q18" s="198" t="s">
        <v>528</v>
      </c>
      <c r="R18" s="198" t="s">
        <v>439</v>
      </c>
      <c r="S18" s="198" t="s">
        <v>529</v>
      </c>
      <c r="T18" s="200"/>
      <c r="U18" s="198" t="s">
        <v>530</v>
      </c>
      <c r="V18" s="198" t="s">
        <v>531</v>
      </c>
    </row>
    <row r="19" spans="8:22" x14ac:dyDescent="0.25">
      <c r="H19" s="198" t="s">
        <v>532</v>
      </c>
      <c r="I19" s="198" t="s">
        <v>445</v>
      </c>
      <c r="J19" s="198" t="s">
        <v>453</v>
      </c>
      <c r="L19" s="198" t="s">
        <v>533</v>
      </c>
      <c r="M19" s="198" t="s">
        <v>442</v>
      </c>
      <c r="N19" s="198" t="s">
        <v>504</v>
      </c>
      <c r="O19" s="201">
        <v>2</v>
      </c>
      <c r="Q19" s="198" t="s">
        <v>534</v>
      </c>
      <c r="R19" s="198" t="s">
        <v>439</v>
      </c>
      <c r="S19" s="198" t="s">
        <v>535</v>
      </c>
      <c r="T19" s="200"/>
      <c r="U19" s="198" t="s">
        <v>536</v>
      </c>
      <c r="V19" s="198" t="s">
        <v>537</v>
      </c>
    </row>
    <row r="20" spans="8:22" x14ac:dyDescent="0.25">
      <c r="H20" s="198" t="s">
        <v>538</v>
      </c>
      <c r="I20" s="198" t="s">
        <v>439</v>
      </c>
      <c r="J20" s="198" t="s">
        <v>440</v>
      </c>
      <c r="L20" s="198" t="s">
        <v>539</v>
      </c>
      <c r="M20" s="198" t="s">
        <v>442</v>
      </c>
      <c r="N20" s="198" t="s">
        <v>504</v>
      </c>
      <c r="O20" s="201">
        <v>2</v>
      </c>
      <c r="Q20" s="198" t="s">
        <v>540</v>
      </c>
      <c r="R20" s="198" t="s">
        <v>439</v>
      </c>
      <c r="S20" s="198" t="s">
        <v>541</v>
      </c>
      <c r="T20" s="200"/>
      <c r="U20" s="198" t="s">
        <v>542</v>
      </c>
      <c r="V20" s="198" t="s">
        <v>543</v>
      </c>
    </row>
    <row r="21" spans="8:22" x14ac:dyDescent="0.25">
      <c r="H21" s="198" t="s">
        <v>511</v>
      </c>
      <c r="I21" s="198" t="s">
        <v>439</v>
      </c>
      <c r="J21" s="198" t="s">
        <v>440</v>
      </c>
      <c r="L21" s="198" t="s">
        <v>544</v>
      </c>
      <c r="M21" s="198" t="s">
        <v>442</v>
      </c>
      <c r="N21" s="198" t="s">
        <v>504</v>
      </c>
      <c r="O21" s="201">
        <v>2</v>
      </c>
      <c r="Q21" s="198" t="s">
        <v>545</v>
      </c>
      <c r="R21" s="198" t="s">
        <v>439</v>
      </c>
      <c r="S21" s="198" t="s">
        <v>541</v>
      </c>
      <c r="T21" s="200"/>
      <c r="U21" s="198" t="s">
        <v>546</v>
      </c>
      <c r="V21" s="198" t="s">
        <v>547</v>
      </c>
    </row>
    <row r="22" spans="8:22" x14ac:dyDescent="0.25">
      <c r="H22" s="198" t="s">
        <v>548</v>
      </c>
      <c r="I22" s="198" t="s">
        <v>445</v>
      </c>
      <c r="J22" s="198" t="s">
        <v>453</v>
      </c>
      <c r="L22" s="198" t="s">
        <v>549</v>
      </c>
      <c r="M22" s="198" t="s">
        <v>442</v>
      </c>
      <c r="N22" s="198" t="s">
        <v>504</v>
      </c>
      <c r="O22" s="201">
        <v>2</v>
      </c>
      <c r="Q22" s="198" t="s">
        <v>550</v>
      </c>
      <c r="R22" s="198" t="s">
        <v>439</v>
      </c>
      <c r="S22" s="198" t="s">
        <v>551</v>
      </c>
      <c r="T22" s="200"/>
      <c r="U22" s="198" t="s">
        <v>552</v>
      </c>
      <c r="V22" s="198" t="s">
        <v>553</v>
      </c>
    </row>
    <row r="23" spans="8:22" x14ac:dyDescent="0.25">
      <c r="H23" s="198" t="s">
        <v>554</v>
      </c>
      <c r="I23" s="198" t="s">
        <v>442</v>
      </c>
      <c r="J23" s="198" t="s">
        <v>447</v>
      </c>
      <c r="L23" s="198" t="s">
        <v>555</v>
      </c>
      <c r="M23" s="198" t="s">
        <v>442</v>
      </c>
      <c r="N23" s="198" t="s">
        <v>504</v>
      </c>
      <c r="O23" s="201">
        <v>2</v>
      </c>
      <c r="Q23" s="198" t="s">
        <v>556</v>
      </c>
      <c r="R23" s="198" t="s">
        <v>439</v>
      </c>
      <c r="S23" s="198" t="s">
        <v>551</v>
      </c>
      <c r="T23" s="200"/>
      <c r="U23" s="198" t="s">
        <v>557</v>
      </c>
      <c r="V23" s="198" t="s">
        <v>558</v>
      </c>
    </row>
    <row r="24" spans="8:22" x14ac:dyDescent="0.25">
      <c r="H24" s="198" t="s">
        <v>559</v>
      </c>
      <c r="I24" s="198" t="s">
        <v>445</v>
      </c>
      <c r="J24" s="198" t="s">
        <v>453</v>
      </c>
      <c r="L24" s="198" t="s">
        <v>560</v>
      </c>
      <c r="M24" s="198" t="s">
        <v>442</v>
      </c>
      <c r="N24" s="198" t="s">
        <v>504</v>
      </c>
      <c r="O24" s="201">
        <v>2</v>
      </c>
      <c r="Q24" s="198" t="s">
        <v>561</v>
      </c>
      <c r="R24" s="198" t="s">
        <v>439</v>
      </c>
      <c r="S24" s="198" t="s">
        <v>562</v>
      </c>
      <c r="T24" s="200"/>
      <c r="U24" s="198" t="s">
        <v>563</v>
      </c>
      <c r="V24" s="198" t="s">
        <v>564</v>
      </c>
    </row>
    <row r="25" spans="8:22" x14ac:dyDescent="0.25">
      <c r="H25" s="198" t="s">
        <v>565</v>
      </c>
      <c r="I25" s="198" t="s">
        <v>439</v>
      </c>
      <c r="J25" s="198" t="s">
        <v>440</v>
      </c>
      <c r="L25" s="198" t="s">
        <v>566</v>
      </c>
      <c r="M25" s="198" t="s">
        <v>442</v>
      </c>
      <c r="N25" s="198" t="s">
        <v>567</v>
      </c>
      <c r="O25" s="201">
        <v>3</v>
      </c>
      <c r="Q25" s="198" t="s">
        <v>568</v>
      </c>
      <c r="R25" s="198" t="s">
        <v>439</v>
      </c>
      <c r="S25" s="198" t="s">
        <v>569</v>
      </c>
      <c r="T25" s="200"/>
      <c r="U25" s="198" t="s">
        <v>570</v>
      </c>
      <c r="V25" s="198" t="s">
        <v>571</v>
      </c>
    </row>
    <row r="26" spans="8:22" x14ac:dyDescent="0.25">
      <c r="H26" s="198" t="s">
        <v>572</v>
      </c>
      <c r="I26" s="198" t="s">
        <v>439</v>
      </c>
      <c r="J26" s="198" t="s">
        <v>440</v>
      </c>
      <c r="L26" s="198" t="s">
        <v>573</v>
      </c>
      <c r="M26" s="198" t="s">
        <v>442</v>
      </c>
      <c r="N26" s="198" t="s">
        <v>567</v>
      </c>
      <c r="O26" s="201">
        <v>3</v>
      </c>
      <c r="Q26" s="198" t="s">
        <v>574</v>
      </c>
      <c r="R26" s="198" t="s">
        <v>439</v>
      </c>
      <c r="S26" s="198" t="s">
        <v>575</v>
      </c>
      <c r="T26" s="200"/>
      <c r="U26" s="198" t="s">
        <v>576</v>
      </c>
      <c r="V26" s="198" t="s">
        <v>577</v>
      </c>
    </row>
    <row r="27" spans="8:22" x14ac:dyDescent="0.25">
      <c r="H27" s="198" t="s">
        <v>578</v>
      </c>
      <c r="I27" s="198" t="s">
        <v>439</v>
      </c>
      <c r="J27" s="198" t="s">
        <v>440</v>
      </c>
      <c r="L27" s="198" t="s">
        <v>579</v>
      </c>
      <c r="M27" s="198" t="s">
        <v>442</v>
      </c>
      <c r="N27" s="198" t="s">
        <v>567</v>
      </c>
      <c r="O27" s="201">
        <v>3</v>
      </c>
      <c r="Q27" s="198" t="s">
        <v>580</v>
      </c>
      <c r="R27" s="198" t="s">
        <v>439</v>
      </c>
      <c r="S27" s="198" t="s">
        <v>581</v>
      </c>
      <c r="T27" s="200"/>
      <c r="U27" s="198" t="s">
        <v>582</v>
      </c>
      <c r="V27" s="198" t="s">
        <v>583</v>
      </c>
    </row>
    <row r="28" spans="8:22" x14ac:dyDescent="0.25">
      <c r="H28" s="198" t="s">
        <v>584</v>
      </c>
      <c r="I28" s="198" t="s">
        <v>445</v>
      </c>
      <c r="J28" s="198" t="s">
        <v>453</v>
      </c>
      <c r="L28" s="198" t="s">
        <v>585</v>
      </c>
      <c r="M28" s="198" t="s">
        <v>442</v>
      </c>
      <c r="N28" s="198" t="s">
        <v>567</v>
      </c>
      <c r="O28" s="201">
        <v>3</v>
      </c>
      <c r="Q28" s="198" t="s">
        <v>586</v>
      </c>
      <c r="R28" s="198" t="s">
        <v>462</v>
      </c>
      <c r="S28" s="198" t="s">
        <v>587</v>
      </c>
      <c r="T28" s="200"/>
      <c r="U28" s="198" t="s">
        <v>588</v>
      </c>
      <c r="V28" s="198" t="s">
        <v>589</v>
      </c>
    </row>
    <row r="29" spans="8:22" x14ac:dyDescent="0.25">
      <c r="H29" s="198" t="s">
        <v>510</v>
      </c>
      <c r="I29" s="198" t="s">
        <v>442</v>
      </c>
      <c r="J29" s="198" t="s">
        <v>447</v>
      </c>
      <c r="L29" s="198" t="s">
        <v>515</v>
      </c>
      <c r="M29" s="198" t="s">
        <v>442</v>
      </c>
      <c r="N29" s="198" t="s">
        <v>567</v>
      </c>
      <c r="O29" s="201">
        <v>3</v>
      </c>
      <c r="Q29" s="198" t="s">
        <v>479</v>
      </c>
      <c r="R29" s="198" t="s">
        <v>462</v>
      </c>
      <c r="S29" s="198" t="s">
        <v>587</v>
      </c>
      <c r="T29" s="200"/>
      <c r="U29" s="198" t="s">
        <v>590</v>
      </c>
      <c r="V29" s="198" t="s">
        <v>591</v>
      </c>
    </row>
    <row r="30" spans="8:22" x14ac:dyDescent="0.25">
      <c r="H30" s="198" t="s">
        <v>592</v>
      </c>
      <c r="I30" s="198" t="s">
        <v>462</v>
      </c>
      <c r="J30" s="198" t="s">
        <v>467</v>
      </c>
      <c r="L30" s="198" t="s">
        <v>593</v>
      </c>
      <c r="M30" s="198" t="s">
        <v>442</v>
      </c>
      <c r="N30" s="198" t="s">
        <v>567</v>
      </c>
      <c r="O30" s="201">
        <v>3</v>
      </c>
      <c r="Q30" s="198" t="s">
        <v>594</v>
      </c>
      <c r="R30" s="198" t="s">
        <v>462</v>
      </c>
      <c r="S30" s="198" t="s">
        <v>595</v>
      </c>
      <c r="T30" s="200"/>
      <c r="U30" s="198" t="s">
        <v>596</v>
      </c>
      <c r="V30" s="198" t="s">
        <v>597</v>
      </c>
    </row>
    <row r="31" spans="8:22" x14ac:dyDescent="0.25">
      <c r="H31" s="198" t="s">
        <v>598</v>
      </c>
      <c r="I31" s="198" t="s">
        <v>445</v>
      </c>
      <c r="J31" s="198" t="s">
        <v>453</v>
      </c>
      <c r="L31" s="198" t="s">
        <v>599</v>
      </c>
      <c r="M31" s="198" t="s">
        <v>442</v>
      </c>
      <c r="N31" s="198" t="s">
        <v>567</v>
      </c>
      <c r="O31" s="201">
        <v>3</v>
      </c>
      <c r="Q31" s="198" t="s">
        <v>600</v>
      </c>
      <c r="R31" s="198" t="s">
        <v>462</v>
      </c>
      <c r="S31" s="198" t="s">
        <v>601</v>
      </c>
      <c r="U31" s="198" t="s">
        <v>602</v>
      </c>
      <c r="V31" s="198" t="s">
        <v>603</v>
      </c>
    </row>
    <row r="32" spans="8:22" x14ac:dyDescent="0.25">
      <c r="H32" s="198" t="s">
        <v>522</v>
      </c>
      <c r="I32" s="198" t="s">
        <v>439</v>
      </c>
      <c r="J32" s="198" t="s">
        <v>440</v>
      </c>
      <c r="L32" s="198" t="s">
        <v>604</v>
      </c>
      <c r="M32" s="198" t="s">
        <v>442</v>
      </c>
      <c r="N32" s="198" t="s">
        <v>567</v>
      </c>
      <c r="O32" s="201">
        <v>3</v>
      </c>
      <c r="Q32" s="198" t="s">
        <v>605</v>
      </c>
      <c r="R32" s="198" t="s">
        <v>462</v>
      </c>
      <c r="S32" s="198" t="s">
        <v>606</v>
      </c>
      <c r="U32" s="198" t="s">
        <v>602</v>
      </c>
      <c r="V32" s="198" t="s">
        <v>603</v>
      </c>
    </row>
    <row r="33" spans="8:22" x14ac:dyDescent="0.25">
      <c r="H33" s="198" t="s">
        <v>607</v>
      </c>
      <c r="I33" s="198" t="s">
        <v>442</v>
      </c>
      <c r="J33" s="198" t="s">
        <v>447</v>
      </c>
      <c r="L33" s="198" t="s">
        <v>608</v>
      </c>
      <c r="M33" s="198" t="s">
        <v>442</v>
      </c>
      <c r="N33" s="198" t="s">
        <v>609</v>
      </c>
      <c r="O33" s="201">
        <v>4</v>
      </c>
      <c r="Q33" s="198" t="s">
        <v>610</v>
      </c>
      <c r="R33" s="198" t="s">
        <v>462</v>
      </c>
      <c r="S33" s="198" t="s">
        <v>611</v>
      </c>
      <c r="U33" s="198" t="s">
        <v>612</v>
      </c>
      <c r="V33" s="198" t="s">
        <v>613</v>
      </c>
    </row>
    <row r="34" spans="8:22" x14ac:dyDescent="0.25">
      <c r="H34" s="198" t="s">
        <v>614</v>
      </c>
      <c r="I34" s="198" t="s">
        <v>439</v>
      </c>
      <c r="J34" s="198" t="s">
        <v>440</v>
      </c>
      <c r="L34" s="198" t="s">
        <v>615</v>
      </c>
      <c r="M34" s="198" t="s">
        <v>442</v>
      </c>
      <c r="N34" s="198" t="s">
        <v>609</v>
      </c>
      <c r="O34" s="201">
        <v>4</v>
      </c>
      <c r="Q34" s="198" t="s">
        <v>616</v>
      </c>
      <c r="R34" s="198" t="s">
        <v>462</v>
      </c>
      <c r="S34" s="198" t="s">
        <v>617</v>
      </c>
      <c r="U34" s="198" t="s">
        <v>618</v>
      </c>
      <c r="V34" s="198" t="s">
        <v>619</v>
      </c>
    </row>
    <row r="35" spans="8:22" x14ac:dyDescent="0.25">
      <c r="H35" s="198" t="s">
        <v>620</v>
      </c>
      <c r="I35" s="198" t="s">
        <v>445</v>
      </c>
      <c r="J35" s="198" t="s">
        <v>453</v>
      </c>
      <c r="L35" s="198" t="s">
        <v>621</v>
      </c>
      <c r="M35" s="198" t="s">
        <v>442</v>
      </c>
      <c r="N35" s="198" t="s">
        <v>609</v>
      </c>
      <c r="O35" s="201">
        <v>4</v>
      </c>
      <c r="Q35" s="198" t="s">
        <v>622</v>
      </c>
      <c r="R35" s="198" t="s">
        <v>462</v>
      </c>
      <c r="S35" s="198" t="s">
        <v>623</v>
      </c>
      <c r="U35" s="198" t="s">
        <v>624</v>
      </c>
      <c r="V35" s="198" t="s">
        <v>625</v>
      </c>
    </row>
    <row r="36" spans="8:22" x14ac:dyDescent="0.25">
      <c r="H36" s="198" t="s">
        <v>516</v>
      </c>
      <c r="I36" s="198" t="s">
        <v>442</v>
      </c>
      <c r="J36" s="198" t="s">
        <v>447</v>
      </c>
      <c r="L36" s="198" t="s">
        <v>626</v>
      </c>
      <c r="M36" s="198" t="s">
        <v>442</v>
      </c>
      <c r="N36" s="198" t="s">
        <v>609</v>
      </c>
      <c r="O36" s="201">
        <v>4</v>
      </c>
      <c r="Q36" s="198" t="s">
        <v>627</v>
      </c>
      <c r="R36" s="198" t="s">
        <v>462</v>
      </c>
      <c r="S36" s="198" t="s">
        <v>628</v>
      </c>
      <c r="U36" s="198" t="s">
        <v>629</v>
      </c>
      <c r="V36" s="198" t="s">
        <v>630</v>
      </c>
    </row>
    <row r="37" spans="8:22" x14ac:dyDescent="0.25">
      <c r="H37" s="198" t="s">
        <v>631</v>
      </c>
      <c r="I37" s="198" t="s">
        <v>462</v>
      </c>
      <c r="J37" s="198" t="s">
        <v>463</v>
      </c>
      <c r="L37" s="198" t="s">
        <v>632</v>
      </c>
      <c r="M37" s="198" t="s">
        <v>442</v>
      </c>
      <c r="N37" s="198" t="s">
        <v>609</v>
      </c>
      <c r="O37" s="201">
        <v>4</v>
      </c>
      <c r="Q37" s="198" t="s">
        <v>633</v>
      </c>
      <c r="R37" s="198" t="s">
        <v>462</v>
      </c>
      <c r="S37" s="198" t="s">
        <v>634</v>
      </c>
      <c r="U37" s="198" t="s">
        <v>635</v>
      </c>
      <c r="V37" s="198" t="s">
        <v>636</v>
      </c>
    </row>
    <row r="38" spans="8:22" x14ac:dyDescent="0.25">
      <c r="H38" s="198" t="s">
        <v>637</v>
      </c>
      <c r="I38" s="198" t="s">
        <v>442</v>
      </c>
      <c r="J38" s="198" t="s">
        <v>447</v>
      </c>
      <c r="L38" s="198" t="s">
        <v>638</v>
      </c>
      <c r="M38" s="198" t="s">
        <v>442</v>
      </c>
      <c r="N38" s="198" t="s">
        <v>609</v>
      </c>
      <c r="O38" s="201">
        <v>4</v>
      </c>
      <c r="U38" s="198" t="s">
        <v>639</v>
      </c>
      <c r="V38" s="198" t="s">
        <v>640</v>
      </c>
    </row>
    <row r="39" spans="8:22" x14ac:dyDescent="0.25">
      <c r="H39" s="198" t="s">
        <v>641</v>
      </c>
      <c r="I39" s="198" t="s">
        <v>439</v>
      </c>
      <c r="J39" s="198" t="s">
        <v>440</v>
      </c>
      <c r="L39" s="198" t="s">
        <v>642</v>
      </c>
      <c r="M39" s="198" t="s">
        <v>442</v>
      </c>
      <c r="N39" s="198" t="s">
        <v>609</v>
      </c>
      <c r="O39" s="201">
        <v>4</v>
      </c>
      <c r="U39" s="198" t="s">
        <v>643</v>
      </c>
      <c r="V39" s="198" t="s">
        <v>644</v>
      </c>
    </row>
    <row r="40" spans="8:22" x14ac:dyDescent="0.25">
      <c r="H40" s="198" t="s">
        <v>645</v>
      </c>
      <c r="I40" s="198" t="s">
        <v>442</v>
      </c>
      <c r="J40" s="198" t="s">
        <v>447</v>
      </c>
      <c r="L40" s="198" t="s">
        <v>646</v>
      </c>
      <c r="M40" s="198" t="s">
        <v>442</v>
      </c>
      <c r="N40" s="198" t="s">
        <v>609</v>
      </c>
      <c r="O40" s="201">
        <v>4</v>
      </c>
      <c r="U40" s="198" t="s">
        <v>647</v>
      </c>
      <c r="V40" s="198" t="s">
        <v>648</v>
      </c>
    </row>
    <row r="41" spans="8:22" x14ac:dyDescent="0.25">
      <c r="H41" s="198" t="s">
        <v>441</v>
      </c>
      <c r="I41" s="198" t="s">
        <v>442</v>
      </c>
      <c r="J41" s="198" t="s">
        <v>447</v>
      </c>
      <c r="L41" s="198" t="s">
        <v>649</v>
      </c>
      <c r="M41" s="198" t="s">
        <v>442</v>
      </c>
      <c r="N41" s="198" t="s">
        <v>650</v>
      </c>
      <c r="O41" s="201">
        <v>8</v>
      </c>
      <c r="U41" s="198" t="s">
        <v>651</v>
      </c>
      <c r="V41" s="198" t="s">
        <v>652</v>
      </c>
    </row>
    <row r="42" spans="8:22" x14ac:dyDescent="0.25">
      <c r="H42" s="198" t="s">
        <v>653</v>
      </c>
      <c r="I42" s="198" t="s">
        <v>462</v>
      </c>
      <c r="J42" s="198" t="s">
        <v>463</v>
      </c>
      <c r="L42" s="198" t="s">
        <v>654</v>
      </c>
      <c r="M42" s="198" t="s">
        <v>442</v>
      </c>
      <c r="N42" s="198" t="s">
        <v>650</v>
      </c>
      <c r="O42" s="201">
        <v>8</v>
      </c>
      <c r="U42" s="198" t="s">
        <v>655</v>
      </c>
      <c r="V42" s="198" t="s">
        <v>656</v>
      </c>
    </row>
    <row r="43" spans="8:22" x14ac:dyDescent="0.25">
      <c r="H43" s="198" t="s">
        <v>657</v>
      </c>
      <c r="I43" s="198" t="s">
        <v>445</v>
      </c>
      <c r="J43" s="198" t="s">
        <v>453</v>
      </c>
      <c r="L43" s="198" t="s">
        <v>658</v>
      </c>
      <c r="M43" s="198" t="s">
        <v>442</v>
      </c>
      <c r="N43" s="198" t="s">
        <v>650</v>
      </c>
      <c r="O43" s="201">
        <v>8</v>
      </c>
      <c r="U43" s="198" t="s">
        <v>659</v>
      </c>
      <c r="V43" s="198" t="s">
        <v>660</v>
      </c>
    </row>
    <row r="44" spans="8:22" x14ac:dyDescent="0.25">
      <c r="H44" s="198" t="s">
        <v>661</v>
      </c>
      <c r="I44" s="198" t="s">
        <v>442</v>
      </c>
      <c r="J44" s="198" t="s">
        <v>447</v>
      </c>
      <c r="L44" s="198" t="s">
        <v>662</v>
      </c>
      <c r="M44" s="198" t="s">
        <v>442</v>
      </c>
      <c r="N44" s="198" t="s">
        <v>650</v>
      </c>
      <c r="O44" s="201">
        <v>8</v>
      </c>
      <c r="U44" s="198" t="s">
        <v>663</v>
      </c>
      <c r="V44" s="198" t="s">
        <v>664</v>
      </c>
    </row>
    <row r="45" spans="8:22" x14ac:dyDescent="0.25">
      <c r="H45" s="198" t="s">
        <v>665</v>
      </c>
      <c r="I45" s="198" t="s">
        <v>442</v>
      </c>
      <c r="J45" s="198" t="s">
        <v>447</v>
      </c>
      <c r="L45" s="198" t="s">
        <v>666</v>
      </c>
      <c r="M45" s="198" t="s">
        <v>442</v>
      </c>
      <c r="N45" s="198" t="s">
        <v>650</v>
      </c>
      <c r="O45" s="201">
        <v>8</v>
      </c>
      <c r="U45" s="198" t="s">
        <v>667</v>
      </c>
      <c r="V45" s="198" t="s">
        <v>668</v>
      </c>
    </row>
    <row r="46" spans="8:22" x14ac:dyDescent="0.25">
      <c r="H46" s="198" t="s">
        <v>669</v>
      </c>
      <c r="I46" s="198" t="s">
        <v>439</v>
      </c>
      <c r="J46" s="198" t="s">
        <v>440</v>
      </c>
      <c r="L46" s="198" t="s">
        <v>670</v>
      </c>
      <c r="M46" s="198" t="s">
        <v>442</v>
      </c>
      <c r="N46" s="198" t="s">
        <v>650</v>
      </c>
      <c r="O46" s="201">
        <v>8</v>
      </c>
      <c r="U46" s="198" t="s">
        <v>671</v>
      </c>
      <c r="V46" s="198" t="s">
        <v>672</v>
      </c>
    </row>
    <row r="47" spans="8:22" x14ac:dyDescent="0.25">
      <c r="H47" s="198" t="s">
        <v>673</v>
      </c>
      <c r="I47" s="198" t="s">
        <v>462</v>
      </c>
      <c r="J47" s="198" t="s">
        <v>463</v>
      </c>
      <c r="L47" s="198" t="s">
        <v>674</v>
      </c>
      <c r="M47" s="198" t="s">
        <v>442</v>
      </c>
      <c r="N47" s="198" t="s">
        <v>650</v>
      </c>
      <c r="O47" s="201">
        <v>8</v>
      </c>
      <c r="U47" s="198" t="s">
        <v>675</v>
      </c>
      <c r="V47" s="198" t="s">
        <v>676</v>
      </c>
    </row>
    <row r="48" spans="8:22" x14ac:dyDescent="0.25">
      <c r="H48" s="198" t="s">
        <v>677</v>
      </c>
      <c r="I48" s="198" t="s">
        <v>445</v>
      </c>
      <c r="J48" s="198" t="s">
        <v>453</v>
      </c>
      <c r="L48" s="198" t="s">
        <v>665</v>
      </c>
      <c r="M48" s="198" t="s">
        <v>442</v>
      </c>
      <c r="N48" s="198" t="s">
        <v>650</v>
      </c>
      <c r="O48" s="201">
        <v>8</v>
      </c>
      <c r="U48" s="198" t="s">
        <v>678</v>
      </c>
      <c r="V48" s="198" t="s">
        <v>679</v>
      </c>
    </row>
    <row r="49" spans="8:22" x14ac:dyDescent="0.25">
      <c r="H49" s="198" t="s">
        <v>680</v>
      </c>
      <c r="I49" s="198" t="s">
        <v>439</v>
      </c>
      <c r="J49" s="198" t="s">
        <v>440</v>
      </c>
      <c r="L49" s="198" t="s">
        <v>681</v>
      </c>
      <c r="M49" s="198" t="s">
        <v>442</v>
      </c>
      <c r="N49" s="198" t="s">
        <v>650</v>
      </c>
      <c r="O49" s="201">
        <v>8</v>
      </c>
      <c r="U49" s="198" t="s">
        <v>682</v>
      </c>
      <c r="V49" s="198" t="s">
        <v>683</v>
      </c>
    </row>
    <row r="50" spans="8:22" x14ac:dyDescent="0.25">
      <c r="H50" s="198" t="s">
        <v>528</v>
      </c>
      <c r="I50" s="198" t="s">
        <v>439</v>
      </c>
      <c r="J50" s="198" t="s">
        <v>440</v>
      </c>
      <c r="L50" s="198" t="s">
        <v>684</v>
      </c>
      <c r="M50" s="198" t="s">
        <v>442</v>
      </c>
      <c r="N50" s="198" t="s">
        <v>650</v>
      </c>
      <c r="O50" s="201">
        <v>8</v>
      </c>
      <c r="U50" s="198" t="s">
        <v>685</v>
      </c>
      <c r="V50" s="198" t="s">
        <v>686</v>
      </c>
    </row>
    <row r="51" spans="8:22" x14ac:dyDescent="0.25">
      <c r="H51" s="198" t="s">
        <v>687</v>
      </c>
      <c r="I51" s="198" t="s">
        <v>442</v>
      </c>
      <c r="J51" s="198" t="s">
        <v>447</v>
      </c>
      <c r="L51" s="198" t="s">
        <v>688</v>
      </c>
      <c r="M51" s="198" t="s">
        <v>442</v>
      </c>
      <c r="N51" s="198" t="s">
        <v>689</v>
      </c>
      <c r="O51" s="201">
        <v>9</v>
      </c>
      <c r="U51" s="198" t="s">
        <v>690</v>
      </c>
      <c r="V51" s="198" t="s">
        <v>691</v>
      </c>
    </row>
    <row r="52" spans="8:22" x14ac:dyDescent="0.25">
      <c r="H52" s="198" t="s">
        <v>692</v>
      </c>
      <c r="I52" s="198" t="s">
        <v>439</v>
      </c>
      <c r="J52" s="198" t="s">
        <v>440</v>
      </c>
      <c r="L52" s="198" t="s">
        <v>693</v>
      </c>
      <c r="M52" s="198" t="s">
        <v>442</v>
      </c>
      <c r="N52" s="198" t="s">
        <v>689</v>
      </c>
      <c r="O52" s="201">
        <v>9</v>
      </c>
    </row>
    <row r="53" spans="8:22" x14ac:dyDescent="0.25">
      <c r="H53" s="198" t="s">
        <v>694</v>
      </c>
      <c r="I53" s="198" t="s">
        <v>445</v>
      </c>
      <c r="J53" s="198" t="s">
        <v>453</v>
      </c>
      <c r="L53" s="198" t="s">
        <v>695</v>
      </c>
      <c r="M53" s="198" t="s">
        <v>442</v>
      </c>
      <c r="N53" s="198" t="s">
        <v>689</v>
      </c>
      <c r="O53" s="201">
        <v>9</v>
      </c>
    </row>
    <row r="54" spans="8:22" x14ac:dyDescent="0.25">
      <c r="H54" s="198" t="s">
        <v>696</v>
      </c>
      <c r="I54" s="198" t="s">
        <v>439</v>
      </c>
      <c r="J54" s="198" t="s">
        <v>440</v>
      </c>
      <c r="L54" s="198" t="s">
        <v>697</v>
      </c>
      <c r="M54" s="198" t="s">
        <v>442</v>
      </c>
      <c r="N54" s="198" t="s">
        <v>689</v>
      </c>
      <c r="O54" s="201">
        <v>9</v>
      </c>
    </row>
    <row r="55" spans="8:22" x14ac:dyDescent="0.25">
      <c r="H55" s="198" t="s">
        <v>545</v>
      </c>
      <c r="I55" s="198" t="s">
        <v>439</v>
      </c>
      <c r="J55" s="198" t="s">
        <v>440</v>
      </c>
      <c r="L55" s="198" t="s">
        <v>698</v>
      </c>
      <c r="M55" s="198" t="s">
        <v>442</v>
      </c>
      <c r="N55" s="198" t="s">
        <v>699</v>
      </c>
      <c r="O55" s="201">
        <v>10</v>
      </c>
    </row>
    <row r="56" spans="8:22" x14ac:dyDescent="0.25">
      <c r="H56" s="198" t="s">
        <v>700</v>
      </c>
      <c r="I56" s="198" t="s">
        <v>445</v>
      </c>
      <c r="J56" s="198" t="s">
        <v>453</v>
      </c>
      <c r="L56" s="198" t="s">
        <v>607</v>
      </c>
      <c r="M56" s="198" t="s">
        <v>442</v>
      </c>
      <c r="N56" s="198" t="s">
        <v>699</v>
      </c>
      <c r="O56" s="201">
        <v>10</v>
      </c>
    </row>
    <row r="57" spans="8:22" x14ac:dyDescent="0.25">
      <c r="H57" s="198" t="s">
        <v>701</v>
      </c>
      <c r="I57" s="198" t="s">
        <v>462</v>
      </c>
      <c r="J57" s="198" t="s">
        <v>467</v>
      </c>
      <c r="L57" s="198" t="s">
        <v>450</v>
      </c>
      <c r="M57" s="198" t="s">
        <v>442</v>
      </c>
      <c r="N57" s="198" t="s">
        <v>699</v>
      </c>
      <c r="O57" s="201">
        <v>10</v>
      </c>
    </row>
    <row r="58" spans="8:22" x14ac:dyDescent="0.25">
      <c r="H58" s="198" t="s">
        <v>702</v>
      </c>
      <c r="I58" s="198" t="s">
        <v>439</v>
      </c>
      <c r="J58" s="198" t="s">
        <v>440</v>
      </c>
      <c r="L58" s="198" t="s">
        <v>687</v>
      </c>
      <c r="M58" s="198" t="s">
        <v>442</v>
      </c>
      <c r="N58" s="198" t="s">
        <v>699</v>
      </c>
      <c r="O58" s="201">
        <v>10</v>
      </c>
    </row>
    <row r="59" spans="8:22" x14ac:dyDescent="0.25">
      <c r="H59" s="198" t="s">
        <v>703</v>
      </c>
      <c r="I59" s="198" t="s">
        <v>439</v>
      </c>
      <c r="J59" s="198" t="s">
        <v>440</v>
      </c>
      <c r="L59" s="198" t="s">
        <v>704</v>
      </c>
      <c r="M59" s="198" t="s">
        <v>442</v>
      </c>
      <c r="N59" s="198" t="s">
        <v>699</v>
      </c>
      <c r="O59" s="201">
        <v>10</v>
      </c>
    </row>
    <row r="60" spans="8:22" x14ac:dyDescent="0.25">
      <c r="H60" s="198" t="s">
        <v>457</v>
      </c>
      <c r="I60" s="198" t="s">
        <v>445</v>
      </c>
      <c r="J60" s="198" t="s">
        <v>453</v>
      </c>
      <c r="L60" s="198" t="s">
        <v>705</v>
      </c>
      <c r="M60" s="198" t="s">
        <v>442</v>
      </c>
      <c r="N60" s="198" t="s">
        <v>699</v>
      </c>
      <c r="O60" s="201">
        <v>10</v>
      </c>
    </row>
    <row r="61" spans="8:22" x14ac:dyDescent="0.25">
      <c r="H61" s="198" t="s">
        <v>706</v>
      </c>
      <c r="I61" s="198" t="s">
        <v>445</v>
      </c>
      <c r="J61" s="198" t="s">
        <v>453</v>
      </c>
      <c r="L61" s="198" t="s">
        <v>707</v>
      </c>
      <c r="M61" s="198" t="s">
        <v>442</v>
      </c>
      <c r="N61" s="198" t="s">
        <v>708</v>
      </c>
      <c r="O61" s="201">
        <v>11</v>
      </c>
    </row>
    <row r="62" spans="8:22" x14ac:dyDescent="0.25">
      <c r="H62" s="198" t="s">
        <v>521</v>
      </c>
      <c r="I62" s="198" t="s">
        <v>442</v>
      </c>
      <c r="J62" s="198" t="s">
        <v>447</v>
      </c>
      <c r="L62" s="198" t="s">
        <v>709</v>
      </c>
      <c r="M62" s="198" t="s">
        <v>442</v>
      </c>
      <c r="N62" s="198" t="s">
        <v>708</v>
      </c>
      <c r="O62" s="201">
        <v>11</v>
      </c>
    </row>
    <row r="63" spans="8:22" x14ac:dyDescent="0.25">
      <c r="H63" s="198" t="s">
        <v>503</v>
      </c>
      <c r="I63" s="198" t="s">
        <v>442</v>
      </c>
      <c r="J63" s="198" t="s">
        <v>447</v>
      </c>
      <c r="L63" s="198" t="s">
        <v>710</v>
      </c>
      <c r="M63" s="198" t="s">
        <v>442</v>
      </c>
      <c r="N63" s="198" t="s">
        <v>708</v>
      </c>
      <c r="O63" s="201">
        <v>11</v>
      </c>
    </row>
    <row r="64" spans="8:22" x14ac:dyDescent="0.25">
      <c r="H64" s="198" t="s">
        <v>711</v>
      </c>
      <c r="I64" s="198" t="s">
        <v>439</v>
      </c>
      <c r="J64" s="198" t="s">
        <v>440</v>
      </c>
      <c r="L64" s="198" t="s">
        <v>554</v>
      </c>
      <c r="M64" s="198" t="s">
        <v>442</v>
      </c>
      <c r="N64" s="198" t="s">
        <v>708</v>
      </c>
      <c r="O64" s="201">
        <v>11</v>
      </c>
    </row>
    <row r="65" spans="8:15" x14ac:dyDescent="0.25">
      <c r="H65" s="198" t="s">
        <v>712</v>
      </c>
      <c r="I65" s="198" t="s">
        <v>439</v>
      </c>
      <c r="J65" s="198" t="s">
        <v>440</v>
      </c>
      <c r="L65" s="198" t="s">
        <v>713</v>
      </c>
      <c r="M65" s="198" t="s">
        <v>442</v>
      </c>
      <c r="N65" s="198" t="s">
        <v>708</v>
      </c>
      <c r="O65" s="201">
        <v>11</v>
      </c>
    </row>
    <row r="66" spans="8:15" x14ac:dyDescent="0.25">
      <c r="H66" s="198" t="s">
        <v>451</v>
      </c>
      <c r="I66" s="198" t="s">
        <v>442</v>
      </c>
      <c r="J66" s="198" t="s">
        <v>447</v>
      </c>
      <c r="L66" s="198" t="s">
        <v>714</v>
      </c>
      <c r="M66" s="198" t="s">
        <v>442</v>
      </c>
      <c r="N66" s="198" t="s">
        <v>708</v>
      </c>
      <c r="O66" s="201">
        <v>11</v>
      </c>
    </row>
    <row r="67" spans="8:15" x14ac:dyDescent="0.25">
      <c r="H67" s="198" t="s">
        <v>709</v>
      </c>
      <c r="I67" s="198" t="s">
        <v>442</v>
      </c>
      <c r="J67" s="198" t="s">
        <v>447</v>
      </c>
      <c r="L67" s="198" t="s">
        <v>715</v>
      </c>
      <c r="M67" s="198" t="s">
        <v>442</v>
      </c>
      <c r="N67" s="198" t="s">
        <v>716</v>
      </c>
      <c r="O67" s="201">
        <v>12</v>
      </c>
    </row>
    <row r="68" spans="8:15" x14ac:dyDescent="0.25">
      <c r="H68" s="198" t="s">
        <v>717</v>
      </c>
      <c r="I68" s="198" t="s">
        <v>439</v>
      </c>
      <c r="J68" s="198" t="s">
        <v>440</v>
      </c>
      <c r="L68" s="198" t="s">
        <v>718</v>
      </c>
      <c r="M68" s="198" t="s">
        <v>442</v>
      </c>
      <c r="N68" s="198" t="s">
        <v>716</v>
      </c>
      <c r="O68" s="201">
        <v>12</v>
      </c>
    </row>
    <row r="69" spans="8:15" x14ac:dyDescent="0.25">
      <c r="H69" s="198" t="s">
        <v>719</v>
      </c>
      <c r="I69" s="198" t="s">
        <v>439</v>
      </c>
      <c r="J69" s="198" t="s">
        <v>440</v>
      </c>
      <c r="L69" s="198" t="s">
        <v>720</v>
      </c>
      <c r="M69" s="198" t="s">
        <v>442</v>
      </c>
      <c r="N69" s="198" t="s">
        <v>716</v>
      </c>
      <c r="O69" s="201">
        <v>12</v>
      </c>
    </row>
    <row r="70" spans="8:15" x14ac:dyDescent="0.25">
      <c r="H70" s="198" t="s">
        <v>721</v>
      </c>
      <c r="I70" s="198" t="s">
        <v>442</v>
      </c>
      <c r="J70" s="198" t="s">
        <v>447</v>
      </c>
      <c r="L70" s="198" t="s">
        <v>722</v>
      </c>
      <c r="M70" s="198" t="s">
        <v>442</v>
      </c>
      <c r="N70" s="198" t="s">
        <v>716</v>
      </c>
      <c r="O70" s="201">
        <v>12</v>
      </c>
    </row>
    <row r="71" spans="8:15" x14ac:dyDescent="0.25">
      <c r="H71" s="198" t="s">
        <v>723</v>
      </c>
      <c r="I71" s="198" t="s">
        <v>445</v>
      </c>
      <c r="J71" s="198" t="s">
        <v>453</v>
      </c>
      <c r="L71" s="198" t="s">
        <v>724</v>
      </c>
      <c r="M71" s="198" t="s">
        <v>442</v>
      </c>
      <c r="N71" s="198" t="s">
        <v>716</v>
      </c>
      <c r="O71" s="201">
        <v>12</v>
      </c>
    </row>
    <row r="72" spans="8:15" x14ac:dyDescent="0.25">
      <c r="H72" s="198" t="s">
        <v>704</v>
      </c>
      <c r="I72" s="198" t="s">
        <v>442</v>
      </c>
      <c r="J72" s="198" t="s">
        <v>447</v>
      </c>
      <c r="L72" s="198" t="s">
        <v>725</v>
      </c>
      <c r="M72" s="198" t="s">
        <v>442</v>
      </c>
      <c r="N72" s="198" t="s">
        <v>716</v>
      </c>
      <c r="O72" s="201">
        <v>12</v>
      </c>
    </row>
    <row r="73" spans="8:15" x14ac:dyDescent="0.25">
      <c r="H73" s="198" t="s">
        <v>726</v>
      </c>
      <c r="I73" s="198" t="s">
        <v>462</v>
      </c>
      <c r="J73" s="198" t="s">
        <v>467</v>
      </c>
      <c r="L73" s="198" t="s">
        <v>727</v>
      </c>
      <c r="M73" s="198" t="s">
        <v>442</v>
      </c>
      <c r="N73" s="198" t="s">
        <v>716</v>
      </c>
      <c r="O73" s="201">
        <v>12</v>
      </c>
    </row>
    <row r="74" spans="8:15" x14ac:dyDescent="0.25">
      <c r="H74" s="198" t="s">
        <v>728</v>
      </c>
      <c r="I74" s="198" t="s">
        <v>445</v>
      </c>
      <c r="J74" s="198" t="s">
        <v>453</v>
      </c>
      <c r="L74" s="198" t="s">
        <v>729</v>
      </c>
      <c r="M74" s="198" t="s">
        <v>442</v>
      </c>
      <c r="N74" s="198" t="s">
        <v>716</v>
      </c>
      <c r="O74" s="201">
        <v>12</v>
      </c>
    </row>
    <row r="75" spans="8:15" x14ac:dyDescent="0.25">
      <c r="H75" s="198" t="s">
        <v>573</v>
      </c>
      <c r="I75" s="198" t="s">
        <v>442</v>
      </c>
      <c r="J75" s="198" t="s">
        <v>447</v>
      </c>
      <c r="L75" s="198" t="s">
        <v>730</v>
      </c>
      <c r="M75" s="198" t="s">
        <v>442</v>
      </c>
      <c r="N75" s="198" t="s">
        <v>716</v>
      </c>
      <c r="O75" s="201">
        <v>12</v>
      </c>
    </row>
    <row r="76" spans="8:15" x14ac:dyDescent="0.25">
      <c r="H76" s="198" t="s">
        <v>731</v>
      </c>
      <c r="I76" s="198" t="s">
        <v>442</v>
      </c>
      <c r="J76" s="198" t="s">
        <v>447</v>
      </c>
      <c r="L76" s="198" t="s">
        <v>732</v>
      </c>
      <c r="M76" s="198" t="s">
        <v>442</v>
      </c>
      <c r="N76" s="198" t="s">
        <v>733</v>
      </c>
      <c r="O76" s="201">
        <v>15</v>
      </c>
    </row>
    <row r="77" spans="8:15" x14ac:dyDescent="0.25">
      <c r="H77" s="198" t="s">
        <v>594</v>
      </c>
      <c r="I77" s="198" t="s">
        <v>462</v>
      </c>
      <c r="J77" s="198" t="s">
        <v>467</v>
      </c>
      <c r="L77" s="198" t="s">
        <v>734</v>
      </c>
      <c r="M77" s="198" t="s">
        <v>442</v>
      </c>
      <c r="N77" s="198" t="s">
        <v>733</v>
      </c>
      <c r="O77" s="201">
        <v>15</v>
      </c>
    </row>
    <row r="78" spans="8:15" x14ac:dyDescent="0.25">
      <c r="H78" s="198" t="s">
        <v>735</v>
      </c>
      <c r="I78" s="198" t="s">
        <v>439</v>
      </c>
      <c r="J78" s="198" t="s">
        <v>440</v>
      </c>
      <c r="L78" s="198" t="s">
        <v>736</v>
      </c>
      <c r="M78" s="198" t="s">
        <v>442</v>
      </c>
      <c r="N78" s="198" t="s">
        <v>733</v>
      </c>
      <c r="O78" s="201">
        <v>15</v>
      </c>
    </row>
    <row r="79" spans="8:15" x14ac:dyDescent="0.25">
      <c r="H79" s="198" t="s">
        <v>615</v>
      </c>
      <c r="I79" s="198" t="s">
        <v>442</v>
      </c>
      <c r="J79" s="198" t="s">
        <v>447</v>
      </c>
      <c r="L79" s="198" t="s">
        <v>737</v>
      </c>
      <c r="M79" s="198" t="s">
        <v>442</v>
      </c>
      <c r="N79" s="198" t="s">
        <v>733</v>
      </c>
      <c r="O79" s="201">
        <v>15</v>
      </c>
    </row>
    <row r="80" spans="8:15" x14ac:dyDescent="0.25">
      <c r="H80" s="198" t="s">
        <v>600</v>
      </c>
      <c r="I80" s="198" t="s">
        <v>462</v>
      </c>
      <c r="J80" s="198" t="s">
        <v>467</v>
      </c>
      <c r="L80" s="198" t="s">
        <v>738</v>
      </c>
      <c r="M80" s="198" t="s">
        <v>442</v>
      </c>
      <c r="N80" s="198" t="s">
        <v>733</v>
      </c>
      <c r="O80" s="201">
        <v>15</v>
      </c>
    </row>
    <row r="81" spans="8:15" x14ac:dyDescent="0.25">
      <c r="H81" s="198" t="s">
        <v>739</v>
      </c>
      <c r="I81" s="198" t="s">
        <v>442</v>
      </c>
      <c r="J81" s="198" t="s">
        <v>447</v>
      </c>
      <c r="L81" s="198" t="s">
        <v>740</v>
      </c>
      <c r="M81" s="198" t="s">
        <v>442</v>
      </c>
      <c r="N81" s="198" t="s">
        <v>741</v>
      </c>
      <c r="O81" s="201">
        <v>13</v>
      </c>
    </row>
    <row r="82" spans="8:15" x14ac:dyDescent="0.25">
      <c r="H82" s="198" t="s">
        <v>742</v>
      </c>
      <c r="I82" s="198" t="s">
        <v>462</v>
      </c>
      <c r="J82" s="198" t="s">
        <v>467</v>
      </c>
      <c r="L82" s="198" t="s">
        <v>743</v>
      </c>
      <c r="M82" s="198" t="s">
        <v>442</v>
      </c>
      <c r="N82" s="198" t="s">
        <v>741</v>
      </c>
      <c r="O82" s="201">
        <v>13</v>
      </c>
    </row>
    <row r="83" spans="8:15" x14ac:dyDescent="0.25">
      <c r="H83" s="198" t="s">
        <v>744</v>
      </c>
      <c r="I83" s="198" t="s">
        <v>462</v>
      </c>
      <c r="J83" s="198" t="s">
        <v>467</v>
      </c>
      <c r="L83" s="198" t="s">
        <v>745</v>
      </c>
      <c r="M83" s="198" t="s">
        <v>442</v>
      </c>
      <c r="N83" s="198" t="s">
        <v>741</v>
      </c>
      <c r="O83" s="201">
        <v>13</v>
      </c>
    </row>
    <row r="84" spans="8:15" x14ac:dyDescent="0.25">
      <c r="H84" s="198" t="s">
        <v>746</v>
      </c>
      <c r="I84" s="198" t="s">
        <v>462</v>
      </c>
      <c r="J84" s="198" t="s">
        <v>463</v>
      </c>
      <c r="L84" s="198" t="s">
        <v>747</v>
      </c>
      <c r="M84" s="198" t="s">
        <v>442</v>
      </c>
      <c r="N84" s="198" t="s">
        <v>741</v>
      </c>
      <c r="O84" s="201">
        <v>13</v>
      </c>
    </row>
    <row r="85" spans="8:15" x14ac:dyDescent="0.25">
      <c r="H85" s="198" t="s">
        <v>748</v>
      </c>
      <c r="I85" s="198" t="s">
        <v>442</v>
      </c>
      <c r="J85" s="198" t="s">
        <v>447</v>
      </c>
      <c r="L85" s="198" t="s">
        <v>749</v>
      </c>
      <c r="M85" s="198" t="s">
        <v>442</v>
      </c>
      <c r="N85" s="198" t="s">
        <v>741</v>
      </c>
      <c r="O85" s="201">
        <v>13</v>
      </c>
    </row>
    <row r="86" spans="8:15" x14ac:dyDescent="0.25">
      <c r="H86" s="198" t="s">
        <v>750</v>
      </c>
      <c r="I86" s="198" t="s">
        <v>439</v>
      </c>
      <c r="J86" s="198" t="s">
        <v>440</v>
      </c>
      <c r="L86" s="198" t="s">
        <v>751</v>
      </c>
      <c r="M86" s="198" t="s">
        <v>442</v>
      </c>
      <c r="N86" s="198" t="s">
        <v>752</v>
      </c>
      <c r="O86" s="201">
        <v>14</v>
      </c>
    </row>
    <row r="87" spans="8:15" x14ac:dyDescent="0.25">
      <c r="H87" s="198" t="s">
        <v>753</v>
      </c>
      <c r="I87" s="198" t="s">
        <v>439</v>
      </c>
      <c r="J87" s="198" t="s">
        <v>440</v>
      </c>
      <c r="L87" s="198" t="s">
        <v>637</v>
      </c>
      <c r="M87" s="198" t="s">
        <v>442</v>
      </c>
      <c r="N87" s="198" t="s">
        <v>752</v>
      </c>
      <c r="O87" s="201">
        <v>14</v>
      </c>
    </row>
    <row r="88" spans="8:15" x14ac:dyDescent="0.25">
      <c r="H88" s="198" t="s">
        <v>754</v>
      </c>
      <c r="I88" s="198" t="s">
        <v>445</v>
      </c>
      <c r="J88" s="198" t="s">
        <v>453</v>
      </c>
      <c r="L88" s="198" t="s">
        <v>731</v>
      </c>
      <c r="M88" s="198" t="s">
        <v>442</v>
      </c>
      <c r="N88" s="198" t="s">
        <v>752</v>
      </c>
      <c r="O88" s="201">
        <v>14</v>
      </c>
    </row>
    <row r="89" spans="8:15" x14ac:dyDescent="0.25">
      <c r="H89" s="198" t="s">
        <v>550</v>
      </c>
      <c r="I89" s="198" t="s">
        <v>439</v>
      </c>
      <c r="J89" s="198" t="s">
        <v>440</v>
      </c>
      <c r="L89" s="198" t="s">
        <v>469</v>
      </c>
      <c r="M89" s="198" t="s">
        <v>442</v>
      </c>
      <c r="N89" s="198" t="s">
        <v>752</v>
      </c>
      <c r="O89" s="201">
        <v>14</v>
      </c>
    </row>
    <row r="90" spans="8:15" x14ac:dyDescent="0.25">
      <c r="H90" s="198" t="s">
        <v>566</v>
      </c>
      <c r="I90" s="198" t="s">
        <v>442</v>
      </c>
      <c r="J90" s="198" t="s">
        <v>447</v>
      </c>
      <c r="L90" s="198" t="s">
        <v>748</v>
      </c>
      <c r="M90" s="198" t="s">
        <v>442</v>
      </c>
      <c r="N90" s="198" t="s">
        <v>752</v>
      </c>
      <c r="O90" s="201">
        <v>14</v>
      </c>
    </row>
    <row r="91" spans="8:15" x14ac:dyDescent="0.25">
      <c r="H91" s="198" t="s">
        <v>734</v>
      </c>
      <c r="I91" s="198" t="s">
        <v>442</v>
      </c>
      <c r="J91" s="198" t="s">
        <v>447</v>
      </c>
      <c r="L91" s="198" t="s">
        <v>755</v>
      </c>
      <c r="M91" s="198" t="s">
        <v>442</v>
      </c>
      <c r="N91" s="198" t="s">
        <v>752</v>
      </c>
      <c r="O91" s="201">
        <v>14</v>
      </c>
    </row>
    <row r="92" spans="8:15" x14ac:dyDescent="0.25">
      <c r="H92" s="198" t="s">
        <v>693</v>
      </c>
      <c r="I92" s="198" t="s">
        <v>442</v>
      </c>
      <c r="J92" s="198" t="s">
        <v>447</v>
      </c>
      <c r="L92" s="198" t="s">
        <v>756</v>
      </c>
      <c r="M92" s="198" t="s">
        <v>442</v>
      </c>
      <c r="N92" s="198" t="s">
        <v>752</v>
      </c>
      <c r="O92" s="201">
        <v>14</v>
      </c>
    </row>
    <row r="93" spans="8:15" x14ac:dyDescent="0.25">
      <c r="H93" s="198" t="s">
        <v>757</v>
      </c>
      <c r="I93" s="198" t="s">
        <v>442</v>
      </c>
      <c r="J93" s="198" t="s">
        <v>447</v>
      </c>
      <c r="L93" s="198" t="s">
        <v>758</v>
      </c>
      <c r="M93" s="198" t="s">
        <v>442</v>
      </c>
      <c r="N93" s="198" t="s">
        <v>752</v>
      </c>
      <c r="O93" s="201">
        <v>14</v>
      </c>
    </row>
    <row r="94" spans="8:15" x14ac:dyDescent="0.25">
      <c r="H94" s="198" t="s">
        <v>759</v>
      </c>
      <c r="I94" s="198" t="s">
        <v>439</v>
      </c>
      <c r="J94" s="198" t="s">
        <v>440</v>
      </c>
      <c r="L94" s="198" t="s">
        <v>760</v>
      </c>
      <c r="M94" s="198" t="s">
        <v>442</v>
      </c>
      <c r="N94" s="198" t="s">
        <v>752</v>
      </c>
      <c r="O94" s="201">
        <v>14</v>
      </c>
    </row>
    <row r="95" spans="8:15" x14ac:dyDescent="0.25">
      <c r="H95" s="198" t="s">
        <v>761</v>
      </c>
      <c r="I95" s="198" t="s">
        <v>439</v>
      </c>
      <c r="J95" s="198" t="s">
        <v>440</v>
      </c>
      <c r="L95" s="198" t="s">
        <v>762</v>
      </c>
      <c r="M95" s="198" t="s">
        <v>442</v>
      </c>
      <c r="N95" s="198" t="s">
        <v>752</v>
      </c>
      <c r="O95" s="201">
        <v>14</v>
      </c>
    </row>
    <row r="96" spans="8:15" x14ac:dyDescent="0.25">
      <c r="H96" s="198" t="s">
        <v>763</v>
      </c>
      <c r="I96" s="198" t="s">
        <v>439</v>
      </c>
      <c r="J96" s="198" t="s">
        <v>440</v>
      </c>
      <c r="L96" s="198" t="s">
        <v>764</v>
      </c>
      <c r="M96" s="198" t="s">
        <v>442</v>
      </c>
      <c r="N96" s="198" t="s">
        <v>765</v>
      </c>
      <c r="O96" s="201">
        <v>23</v>
      </c>
    </row>
    <row r="97" spans="8:15" x14ac:dyDescent="0.25">
      <c r="H97" s="198" t="s">
        <v>766</v>
      </c>
      <c r="I97" s="198" t="s">
        <v>439</v>
      </c>
      <c r="J97" s="198" t="s">
        <v>440</v>
      </c>
      <c r="L97" s="198" t="s">
        <v>767</v>
      </c>
      <c r="M97" s="198" t="s">
        <v>442</v>
      </c>
      <c r="N97" s="198" t="s">
        <v>765</v>
      </c>
      <c r="O97" s="201">
        <v>23</v>
      </c>
    </row>
    <row r="98" spans="8:15" x14ac:dyDescent="0.25">
      <c r="H98" s="198" t="s">
        <v>768</v>
      </c>
      <c r="I98" s="198" t="s">
        <v>445</v>
      </c>
      <c r="J98" s="198" t="s">
        <v>453</v>
      </c>
      <c r="L98" s="198" t="s">
        <v>721</v>
      </c>
      <c r="M98" s="198" t="s">
        <v>442</v>
      </c>
      <c r="N98" s="198" t="s">
        <v>765</v>
      </c>
      <c r="O98" s="201">
        <v>23</v>
      </c>
    </row>
    <row r="99" spans="8:15" x14ac:dyDescent="0.25">
      <c r="H99" s="198" t="s">
        <v>769</v>
      </c>
      <c r="I99" s="198" t="s">
        <v>445</v>
      </c>
      <c r="J99" s="198" t="s">
        <v>453</v>
      </c>
    </row>
    <row r="100" spans="8:15" x14ac:dyDescent="0.25">
      <c r="H100" s="198" t="s">
        <v>770</v>
      </c>
      <c r="I100" s="198" t="s">
        <v>462</v>
      </c>
      <c r="J100" s="198" t="s">
        <v>467</v>
      </c>
    </row>
    <row r="101" spans="8:15" x14ac:dyDescent="0.25">
      <c r="H101" s="198" t="s">
        <v>736</v>
      </c>
      <c r="I101" s="198" t="s">
        <v>442</v>
      </c>
      <c r="J101" s="198" t="s">
        <v>447</v>
      </c>
    </row>
    <row r="102" spans="8:15" x14ac:dyDescent="0.25">
      <c r="H102" s="198" t="s">
        <v>621</v>
      </c>
      <c r="I102" s="198" t="s">
        <v>442</v>
      </c>
      <c r="J102" s="198" t="s">
        <v>447</v>
      </c>
    </row>
    <row r="103" spans="8:15" x14ac:dyDescent="0.25">
      <c r="H103" s="198" t="s">
        <v>534</v>
      </c>
      <c r="I103" s="198" t="s">
        <v>439</v>
      </c>
      <c r="J103" s="198" t="s">
        <v>440</v>
      </c>
    </row>
    <row r="104" spans="8:15" x14ac:dyDescent="0.25">
      <c r="H104" s="198" t="s">
        <v>771</v>
      </c>
      <c r="I104" s="198" t="s">
        <v>439</v>
      </c>
      <c r="J104" s="198" t="s">
        <v>440</v>
      </c>
    </row>
    <row r="105" spans="8:15" x14ac:dyDescent="0.25">
      <c r="H105" s="198" t="s">
        <v>720</v>
      </c>
      <c r="I105" s="198" t="s">
        <v>442</v>
      </c>
      <c r="J105" s="198" t="s">
        <v>447</v>
      </c>
    </row>
    <row r="106" spans="8:15" x14ac:dyDescent="0.25">
      <c r="H106" s="198" t="s">
        <v>772</v>
      </c>
      <c r="I106" s="198" t="s">
        <v>462</v>
      </c>
      <c r="J106" s="198" t="s">
        <v>467</v>
      </c>
    </row>
    <row r="107" spans="8:15" x14ac:dyDescent="0.25">
      <c r="H107" s="198" t="s">
        <v>737</v>
      </c>
      <c r="I107" s="198" t="s">
        <v>442</v>
      </c>
      <c r="J107" s="198" t="s">
        <v>447</v>
      </c>
    </row>
    <row r="108" spans="8:15" x14ac:dyDescent="0.25">
      <c r="H108" s="198" t="s">
        <v>773</v>
      </c>
      <c r="I108" s="198" t="s">
        <v>445</v>
      </c>
      <c r="J108" s="198" t="s">
        <v>453</v>
      </c>
    </row>
    <row r="109" spans="8:15" x14ac:dyDescent="0.25">
      <c r="H109" s="198" t="s">
        <v>774</v>
      </c>
      <c r="I109" s="198" t="s">
        <v>445</v>
      </c>
      <c r="J109" s="198" t="s">
        <v>453</v>
      </c>
    </row>
    <row r="110" spans="8:15" x14ac:dyDescent="0.25">
      <c r="H110" s="198" t="s">
        <v>527</v>
      </c>
      <c r="I110" s="198" t="s">
        <v>442</v>
      </c>
      <c r="J110" s="198" t="s">
        <v>447</v>
      </c>
    </row>
    <row r="111" spans="8:15" x14ac:dyDescent="0.25">
      <c r="H111" s="198" t="s">
        <v>775</v>
      </c>
      <c r="I111" s="198" t="s">
        <v>439</v>
      </c>
      <c r="J111" s="198" t="s">
        <v>440</v>
      </c>
    </row>
    <row r="112" spans="8:15" x14ac:dyDescent="0.25">
      <c r="H112" s="198" t="s">
        <v>465</v>
      </c>
      <c r="I112" s="198" t="s">
        <v>445</v>
      </c>
      <c r="J112" s="198" t="s">
        <v>453</v>
      </c>
    </row>
    <row r="113" spans="8:10" x14ac:dyDescent="0.25">
      <c r="H113" s="198" t="s">
        <v>533</v>
      </c>
      <c r="I113" s="198" t="s">
        <v>442</v>
      </c>
      <c r="J113" s="198" t="s">
        <v>447</v>
      </c>
    </row>
    <row r="114" spans="8:10" x14ac:dyDescent="0.25">
      <c r="H114" s="198" t="s">
        <v>776</v>
      </c>
      <c r="I114" s="198" t="s">
        <v>439</v>
      </c>
      <c r="J114" s="198" t="s">
        <v>440</v>
      </c>
    </row>
    <row r="115" spans="8:10" x14ac:dyDescent="0.25">
      <c r="H115" s="198" t="s">
        <v>608</v>
      </c>
      <c r="I115" s="198" t="s">
        <v>442</v>
      </c>
      <c r="J115" s="198" t="s">
        <v>447</v>
      </c>
    </row>
    <row r="116" spans="8:10" x14ac:dyDescent="0.25">
      <c r="H116" s="198" t="s">
        <v>777</v>
      </c>
      <c r="I116" s="198" t="s">
        <v>445</v>
      </c>
      <c r="J116" s="198" t="s">
        <v>453</v>
      </c>
    </row>
    <row r="117" spans="8:10" x14ac:dyDescent="0.25">
      <c r="H117" s="198" t="s">
        <v>579</v>
      </c>
      <c r="I117" s="198" t="s">
        <v>442</v>
      </c>
      <c r="J117" s="198" t="s">
        <v>447</v>
      </c>
    </row>
    <row r="118" spans="8:10" x14ac:dyDescent="0.25">
      <c r="H118" s="198" t="s">
        <v>778</v>
      </c>
      <c r="I118" s="198" t="s">
        <v>439</v>
      </c>
      <c r="J118" s="198" t="s">
        <v>440</v>
      </c>
    </row>
    <row r="119" spans="8:10" x14ac:dyDescent="0.25">
      <c r="H119" s="198" t="s">
        <v>779</v>
      </c>
      <c r="I119" s="198" t="s">
        <v>442</v>
      </c>
      <c r="J119" s="198" t="s">
        <v>447</v>
      </c>
    </row>
    <row r="120" spans="8:10" x14ac:dyDescent="0.25">
      <c r="H120" s="198" t="s">
        <v>780</v>
      </c>
      <c r="I120" s="198" t="s">
        <v>445</v>
      </c>
      <c r="J120" s="198" t="s">
        <v>453</v>
      </c>
    </row>
    <row r="121" spans="8:10" x14ac:dyDescent="0.25">
      <c r="H121" s="198" t="s">
        <v>781</v>
      </c>
      <c r="I121" s="198" t="s">
        <v>462</v>
      </c>
      <c r="J121" s="198" t="s">
        <v>467</v>
      </c>
    </row>
    <row r="122" spans="8:10" x14ac:dyDescent="0.25">
      <c r="H122" s="198" t="s">
        <v>782</v>
      </c>
      <c r="I122" s="198" t="s">
        <v>462</v>
      </c>
      <c r="J122" s="198" t="s">
        <v>463</v>
      </c>
    </row>
    <row r="123" spans="8:10" x14ac:dyDescent="0.25">
      <c r="H123" s="198" t="s">
        <v>783</v>
      </c>
      <c r="I123" s="198" t="s">
        <v>462</v>
      </c>
      <c r="J123" s="198" t="s">
        <v>463</v>
      </c>
    </row>
    <row r="124" spans="8:10" x14ac:dyDescent="0.25">
      <c r="H124" s="198" t="s">
        <v>784</v>
      </c>
      <c r="I124" s="198" t="s">
        <v>439</v>
      </c>
      <c r="J124" s="198" t="s">
        <v>440</v>
      </c>
    </row>
    <row r="125" spans="8:10" x14ac:dyDescent="0.25">
      <c r="H125" s="198" t="s">
        <v>785</v>
      </c>
      <c r="I125" s="198" t="s">
        <v>442</v>
      </c>
      <c r="J125" s="198" t="s">
        <v>447</v>
      </c>
    </row>
    <row r="126" spans="8:10" x14ac:dyDescent="0.25">
      <c r="H126" s="198" t="s">
        <v>786</v>
      </c>
      <c r="I126" s="198" t="s">
        <v>462</v>
      </c>
      <c r="J126" s="198" t="s">
        <v>467</v>
      </c>
    </row>
    <row r="127" spans="8:10" x14ac:dyDescent="0.25">
      <c r="H127" s="198" t="s">
        <v>539</v>
      </c>
      <c r="I127" s="198" t="s">
        <v>442</v>
      </c>
      <c r="J127" s="198" t="s">
        <v>447</v>
      </c>
    </row>
    <row r="128" spans="8:10" x14ac:dyDescent="0.25">
      <c r="H128" s="198" t="s">
        <v>743</v>
      </c>
      <c r="I128" s="198" t="s">
        <v>442</v>
      </c>
      <c r="J128" s="198" t="s">
        <v>447</v>
      </c>
    </row>
    <row r="129" spans="8:10" x14ac:dyDescent="0.25">
      <c r="H129" s="198" t="s">
        <v>787</v>
      </c>
      <c r="I129" s="198" t="s">
        <v>462</v>
      </c>
      <c r="J129" s="198" t="s">
        <v>467</v>
      </c>
    </row>
    <row r="130" spans="8:10" x14ac:dyDescent="0.25">
      <c r="H130" s="198" t="s">
        <v>626</v>
      </c>
      <c r="I130" s="198" t="s">
        <v>442</v>
      </c>
      <c r="J130" s="198" t="s">
        <v>447</v>
      </c>
    </row>
    <row r="131" spans="8:10" x14ac:dyDescent="0.25">
      <c r="H131" s="198" t="s">
        <v>788</v>
      </c>
      <c r="I131" s="198" t="s">
        <v>439</v>
      </c>
      <c r="J131" s="198" t="s">
        <v>440</v>
      </c>
    </row>
    <row r="132" spans="8:10" x14ac:dyDescent="0.25">
      <c r="H132" s="198" t="s">
        <v>789</v>
      </c>
      <c r="I132" s="198" t="s">
        <v>439</v>
      </c>
      <c r="J132" s="198" t="s">
        <v>440</v>
      </c>
    </row>
    <row r="133" spans="8:10" x14ac:dyDescent="0.25">
      <c r="H133" s="198" t="s">
        <v>586</v>
      </c>
      <c r="I133" s="198" t="s">
        <v>462</v>
      </c>
      <c r="J133" s="198" t="s">
        <v>467</v>
      </c>
    </row>
    <row r="134" spans="8:10" x14ac:dyDescent="0.25">
      <c r="H134" s="198" t="s">
        <v>755</v>
      </c>
      <c r="I134" s="198" t="s">
        <v>442</v>
      </c>
      <c r="J134" s="198" t="s">
        <v>447</v>
      </c>
    </row>
    <row r="135" spans="8:10" x14ac:dyDescent="0.25">
      <c r="H135" s="198" t="s">
        <v>649</v>
      </c>
      <c r="I135" s="198" t="s">
        <v>442</v>
      </c>
      <c r="J135" s="198" t="s">
        <v>447</v>
      </c>
    </row>
    <row r="136" spans="8:10" x14ac:dyDescent="0.25">
      <c r="H136" s="198" t="s">
        <v>632</v>
      </c>
      <c r="I136" s="198" t="s">
        <v>442</v>
      </c>
      <c r="J136" s="198" t="s">
        <v>447</v>
      </c>
    </row>
    <row r="137" spans="8:10" x14ac:dyDescent="0.25">
      <c r="H137" s="198" t="s">
        <v>790</v>
      </c>
      <c r="I137" s="198" t="s">
        <v>445</v>
      </c>
      <c r="J137" s="198" t="s">
        <v>453</v>
      </c>
    </row>
    <row r="138" spans="8:10" x14ac:dyDescent="0.25">
      <c r="H138" s="198" t="s">
        <v>452</v>
      </c>
      <c r="I138" s="198" t="s">
        <v>445</v>
      </c>
      <c r="J138" s="198" t="s">
        <v>453</v>
      </c>
    </row>
    <row r="139" spans="8:10" x14ac:dyDescent="0.25">
      <c r="H139" s="198" t="s">
        <v>791</v>
      </c>
      <c r="I139" s="198" t="s">
        <v>462</v>
      </c>
      <c r="J139" s="198" t="s">
        <v>467</v>
      </c>
    </row>
    <row r="140" spans="8:10" x14ac:dyDescent="0.25">
      <c r="H140" s="198" t="s">
        <v>792</v>
      </c>
      <c r="I140" s="198" t="s">
        <v>462</v>
      </c>
      <c r="J140" s="198" t="s">
        <v>463</v>
      </c>
    </row>
    <row r="141" spans="8:10" x14ac:dyDescent="0.25">
      <c r="H141" s="198" t="s">
        <v>793</v>
      </c>
      <c r="I141" s="198" t="s">
        <v>445</v>
      </c>
      <c r="J141" s="198" t="s">
        <v>453</v>
      </c>
    </row>
    <row r="142" spans="8:10" x14ac:dyDescent="0.25">
      <c r="H142" s="198" t="s">
        <v>722</v>
      </c>
      <c r="I142" s="198" t="s">
        <v>442</v>
      </c>
      <c r="J142" s="198" t="s">
        <v>447</v>
      </c>
    </row>
    <row r="143" spans="8:10" x14ac:dyDescent="0.25">
      <c r="H143" s="198" t="s">
        <v>794</v>
      </c>
      <c r="I143" s="198" t="s">
        <v>445</v>
      </c>
      <c r="J143" s="198" t="s">
        <v>453</v>
      </c>
    </row>
    <row r="144" spans="8:10" x14ac:dyDescent="0.25">
      <c r="H144" s="198" t="s">
        <v>795</v>
      </c>
      <c r="I144" s="198" t="s">
        <v>439</v>
      </c>
      <c r="J144" s="198" t="s">
        <v>440</v>
      </c>
    </row>
    <row r="145" spans="8:10" x14ac:dyDescent="0.25">
      <c r="H145" s="198" t="s">
        <v>796</v>
      </c>
      <c r="I145" s="198" t="s">
        <v>462</v>
      </c>
      <c r="J145" s="198" t="s">
        <v>463</v>
      </c>
    </row>
    <row r="146" spans="8:10" x14ac:dyDescent="0.25">
      <c r="H146" s="198" t="s">
        <v>797</v>
      </c>
      <c r="I146" s="198" t="s">
        <v>462</v>
      </c>
      <c r="J146" s="198" t="s">
        <v>467</v>
      </c>
    </row>
    <row r="147" spans="8:10" x14ac:dyDescent="0.25">
      <c r="H147" s="198" t="s">
        <v>798</v>
      </c>
      <c r="I147" s="198" t="s">
        <v>462</v>
      </c>
      <c r="J147" s="198" t="s">
        <v>463</v>
      </c>
    </row>
    <row r="148" spans="8:10" x14ac:dyDescent="0.25">
      <c r="H148" s="198" t="s">
        <v>799</v>
      </c>
      <c r="I148" s="198" t="s">
        <v>439</v>
      </c>
      <c r="J148" s="198" t="s">
        <v>440</v>
      </c>
    </row>
    <row r="149" spans="8:10" x14ac:dyDescent="0.25">
      <c r="H149" s="198" t="s">
        <v>800</v>
      </c>
      <c r="I149" s="198" t="s">
        <v>445</v>
      </c>
      <c r="J149" s="198" t="s">
        <v>453</v>
      </c>
    </row>
    <row r="150" spans="8:10" x14ac:dyDescent="0.25">
      <c r="H150" s="198" t="s">
        <v>801</v>
      </c>
      <c r="I150" s="198" t="s">
        <v>445</v>
      </c>
      <c r="J150" s="198" t="s">
        <v>453</v>
      </c>
    </row>
    <row r="151" spans="8:10" x14ac:dyDescent="0.25">
      <c r="H151" s="198" t="s">
        <v>802</v>
      </c>
      <c r="I151" s="198" t="s">
        <v>462</v>
      </c>
      <c r="J151" s="198" t="s">
        <v>467</v>
      </c>
    </row>
    <row r="152" spans="8:10" x14ac:dyDescent="0.25">
      <c r="H152" s="198" t="s">
        <v>803</v>
      </c>
      <c r="I152" s="198" t="s">
        <v>445</v>
      </c>
      <c r="J152" s="198" t="s">
        <v>453</v>
      </c>
    </row>
    <row r="153" spans="8:10" x14ac:dyDescent="0.25">
      <c r="H153" s="198" t="s">
        <v>804</v>
      </c>
      <c r="I153" s="198" t="s">
        <v>439</v>
      </c>
      <c r="J153" s="198" t="s">
        <v>440</v>
      </c>
    </row>
    <row r="154" spans="8:10" x14ac:dyDescent="0.25">
      <c r="H154" s="198" t="s">
        <v>805</v>
      </c>
      <c r="I154" s="198" t="s">
        <v>442</v>
      </c>
      <c r="J154" s="198" t="s">
        <v>447</v>
      </c>
    </row>
    <row r="155" spans="8:10" x14ac:dyDescent="0.25">
      <c r="H155" s="198" t="s">
        <v>605</v>
      </c>
      <c r="I155" s="198" t="s">
        <v>462</v>
      </c>
      <c r="J155" s="198" t="s">
        <v>467</v>
      </c>
    </row>
    <row r="156" spans="8:10" x14ac:dyDescent="0.25">
      <c r="H156" s="198" t="s">
        <v>806</v>
      </c>
      <c r="I156" s="198" t="s">
        <v>462</v>
      </c>
      <c r="J156" s="198" t="s">
        <v>467</v>
      </c>
    </row>
    <row r="157" spans="8:10" x14ac:dyDescent="0.25">
      <c r="H157" s="198" t="s">
        <v>807</v>
      </c>
      <c r="I157" s="198" t="s">
        <v>445</v>
      </c>
      <c r="J157" s="198" t="s">
        <v>453</v>
      </c>
    </row>
    <row r="158" spans="8:10" x14ac:dyDescent="0.25">
      <c r="H158" s="198" t="s">
        <v>585</v>
      </c>
      <c r="I158" s="198" t="s">
        <v>442</v>
      </c>
      <c r="J158" s="198" t="s">
        <v>447</v>
      </c>
    </row>
    <row r="159" spans="8:10" x14ac:dyDescent="0.25">
      <c r="H159" s="198" t="s">
        <v>808</v>
      </c>
      <c r="I159" s="198" t="s">
        <v>439</v>
      </c>
      <c r="J159" s="198" t="s">
        <v>440</v>
      </c>
    </row>
    <row r="160" spans="8:10" x14ac:dyDescent="0.25">
      <c r="H160" s="198" t="s">
        <v>593</v>
      </c>
      <c r="I160" s="198" t="s">
        <v>442</v>
      </c>
      <c r="J160" s="198" t="s">
        <v>447</v>
      </c>
    </row>
    <row r="161" spans="8:10" x14ac:dyDescent="0.25">
      <c r="H161" s="198" t="s">
        <v>809</v>
      </c>
      <c r="I161" s="198" t="s">
        <v>439</v>
      </c>
      <c r="J161" s="198" t="s">
        <v>440</v>
      </c>
    </row>
    <row r="162" spans="8:10" x14ac:dyDescent="0.25">
      <c r="H162" s="198" t="s">
        <v>810</v>
      </c>
      <c r="I162" s="198" t="s">
        <v>439</v>
      </c>
      <c r="J162" s="198" t="s">
        <v>440</v>
      </c>
    </row>
    <row r="163" spans="8:10" x14ac:dyDescent="0.25">
      <c r="H163" s="198" t="s">
        <v>811</v>
      </c>
      <c r="I163" s="198" t="s">
        <v>439</v>
      </c>
      <c r="J163" s="198" t="s">
        <v>440</v>
      </c>
    </row>
    <row r="164" spans="8:10" x14ac:dyDescent="0.25">
      <c r="H164" s="198" t="s">
        <v>812</v>
      </c>
      <c r="I164" s="198" t="s">
        <v>439</v>
      </c>
      <c r="J164" s="198" t="s">
        <v>440</v>
      </c>
    </row>
    <row r="165" spans="8:10" x14ac:dyDescent="0.25">
      <c r="H165" s="198" t="s">
        <v>813</v>
      </c>
      <c r="I165" s="198" t="s">
        <v>445</v>
      </c>
      <c r="J165" s="198" t="s">
        <v>453</v>
      </c>
    </row>
    <row r="166" spans="8:10" x14ac:dyDescent="0.25">
      <c r="H166" s="198" t="s">
        <v>710</v>
      </c>
      <c r="I166" s="198" t="s">
        <v>442</v>
      </c>
      <c r="J166" s="198" t="s">
        <v>447</v>
      </c>
    </row>
    <row r="167" spans="8:10" x14ac:dyDescent="0.25">
      <c r="H167" s="198" t="s">
        <v>445</v>
      </c>
      <c r="I167" s="198" t="s">
        <v>445</v>
      </c>
      <c r="J167" s="198" t="s">
        <v>453</v>
      </c>
    </row>
    <row r="168" spans="8:10" x14ac:dyDescent="0.25">
      <c r="H168" s="198" t="s">
        <v>814</v>
      </c>
      <c r="I168" s="198" t="s">
        <v>439</v>
      </c>
      <c r="J168" s="198" t="s">
        <v>440</v>
      </c>
    </row>
    <row r="169" spans="8:10" x14ac:dyDescent="0.25">
      <c r="H169" s="198" t="s">
        <v>599</v>
      </c>
      <c r="I169" s="198" t="s">
        <v>442</v>
      </c>
      <c r="J169" s="198" t="s">
        <v>447</v>
      </c>
    </row>
    <row r="170" spans="8:10" x14ac:dyDescent="0.25">
      <c r="H170" s="198" t="s">
        <v>815</v>
      </c>
      <c r="I170" s="198" t="s">
        <v>439</v>
      </c>
      <c r="J170" s="198" t="s">
        <v>440</v>
      </c>
    </row>
    <row r="171" spans="8:10" x14ac:dyDescent="0.25">
      <c r="H171" s="198" t="s">
        <v>738</v>
      </c>
      <c r="I171" s="198" t="s">
        <v>442</v>
      </c>
      <c r="J171" s="198" t="s">
        <v>447</v>
      </c>
    </row>
    <row r="172" spans="8:10" x14ac:dyDescent="0.25">
      <c r="H172" s="198" t="s">
        <v>816</v>
      </c>
      <c r="I172" s="198" t="s">
        <v>462</v>
      </c>
      <c r="J172" s="198" t="s">
        <v>467</v>
      </c>
    </row>
    <row r="173" spans="8:10" x14ac:dyDescent="0.25">
      <c r="H173" s="198" t="s">
        <v>817</v>
      </c>
      <c r="I173" s="198" t="s">
        <v>439</v>
      </c>
      <c r="J173" s="198" t="s">
        <v>440</v>
      </c>
    </row>
    <row r="174" spans="8:10" x14ac:dyDescent="0.25">
      <c r="H174" s="198" t="s">
        <v>695</v>
      </c>
      <c r="I174" s="198" t="s">
        <v>442</v>
      </c>
      <c r="J174" s="198" t="s">
        <v>447</v>
      </c>
    </row>
    <row r="175" spans="8:10" x14ac:dyDescent="0.25">
      <c r="H175" s="198" t="s">
        <v>818</v>
      </c>
      <c r="I175" s="198" t="s">
        <v>462</v>
      </c>
      <c r="J175" s="198" t="s">
        <v>467</v>
      </c>
    </row>
    <row r="176" spans="8:10" x14ac:dyDescent="0.25">
      <c r="H176" s="198" t="s">
        <v>819</v>
      </c>
      <c r="I176" s="198" t="s">
        <v>445</v>
      </c>
      <c r="J176" s="198" t="s">
        <v>453</v>
      </c>
    </row>
    <row r="177" spans="8:10" x14ac:dyDescent="0.25">
      <c r="H177" s="198" t="s">
        <v>820</v>
      </c>
      <c r="I177" s="198" t="s">
        <v>462</v>
      </c>
      <c r="J177" s="198" t="s">
        <v>467</v>
      </c>
    </row>
    <row r="178" spans="8:10" x14ac:dyDescent="0.25">
      <c r="H178" s="198" t="s">
        <v>456</v>
      </c>
      <c r="I178" s="198" t="s">
        <v>442</v>
      </c>
      <c r="J178" s="198" t="s">
        <v>447</v>
      </c>
    </row>
    <row r="179" spans="8:10" x14ac:dyDescent="0.25">
      <c r="H179" s="198" t="s">
        <v>821</v>
      </c>
      <c r="I179" s="198" t="s">
        <v>439</v>
      </c>
      <c r="J179" s="198" t="s">
        <v>440</v>
      </c>
    </row>
    <row r="180" spans="8:10" x14ac:dyDescent="0.25">
      <c r="H180" s="198" t="s">
        <v>822</v>
      </c>
      <c r="I180" s="198" t="s">
        <v>439</v>
      </c>
      <c r="J180" s="198" t="s">
        <v>440</v>
      </c>
    </row>
    <row r="181" spans="8:10" x14ac:dyDescent="0.25">
      <c r="H181" s="198" t="s">
        <v>724</v>
      </c>
      <c r="I181" s="198" t="s">
        <v>442</v>
      </c>
      <c r="J181" s="198" t="s">
        <v>447</v>
      </c>
    </row>
    <row r="182" spans="8:10" x14ac:dyDescent="0.25">
      <c r="H182" s="198" t="s">
        <v>823</v>
      </c>
      <c r="I182" s="198" t="s">
        <v>439</v>
      </c>
      <c r="J182" s="198" t="s">
        <v>440</v>
      </c>
    </row>
    <row r="183" spans="8:10" x14ac:dyDescent="0.25">
      <c r="H183" s="198" t="s">
        <v>756</v>
      </c>
      <c r="I183" s="198" t="s">
        <v>442</v>
      </c>
      <c r="J183" s="198" t="s">
        <v>447</v>
      </c>
    </row>
    <row r="184" spans="8:10" x14ac:dyDescent="0.25">
      <c r="H184" s="198" t="s">
        <v>824</v>
      </c>
      <c r="I184" s="198" t="s">
        <v>462</v>
      </c>
      <c r="J184" s="198" t="s">
        <v>467</v>
      </c>
    </row>
    <row r="185" spans="8:10" x14ac:dyDescent="0.25">
      <c r="H185" s="198" t="s">
        <v>662</v>
      </c>
      <c r="I185" s="198" t="s">
        <v>442</v>
      </c>
      <c r="J185" s="198" t="s">
        <v>447</v>
      </c>
    </row>
    <row r="186" spans="8:10" x14ac:dyDescent="0.25">
      <c r="H186" s="198" t="s">
        <v>825</v>
      </c>
      <c r="I186" s="198" t="s">
        <v>462</v>
      </c>
      <c r="J186" s="198" t="s">
        <v>463</v>
      </c>
    </row>
    <row r="187" spans="8:10" x14ac:dyDescent="0.25">
      <c r="H187" s="198" t="s">
        <v>826</v>
      </c>
      <c r="I187" s="198" t="s">
        <v>462</v>
      </c>
      <c r="J187" s="198" t="s">
        <v>463</v>
      </c>
    </row>
    <row r="188" spans="8:10" x14ac:dyDescent="0.25">
      <c r="H188" s="198" t="s">
        <v>471</v>
      </c>
      <c r="I188" s="198" t="s">
        <v>445</v>
      </c>
      <c r="J188" s="198" t="s">
        <v>453</v>
      </c>
    </row>
    <row r="189" spans="8:10" x14ac:dyDescent="0.25">
      <c r="H189" s="198" t="s">
        <v>758</v>
      </c>
      <c r="I189" s="198" t="s">
        <v>442</v>
      </c>
      <c r="J189" s="198" t="s">
        <v>447</v>
      </c>
    </row>
    <row r="190" spans="8:10" x14ac:dyDescent="0.25">
      <c r="H190" s="198" t="s">
        <v>475</v>
      </c>
      <c r="I190" s="198" t="s">
        <v>445</v>
      </c>
      <c r="J190" s="198" t="s">
        <v>453</v>
      </c>
    </row>
    <row r="191" spans="8:10" x14ac:dyDescent="0.25">
      <c r="H191" s="198" t="s">
        <v>827</v>
      </c>
      <c r="I191" s="198" t="s">
        <v>439</v>
      </c>
      <c r="J191" s="198" t="s">
        <v>440</v>
      </c>
    </row>
    <row r="192" spans="8:10" x14ac:dyDescent="0.25">
      <c r="H192" s="198" t="s">
        <v>828</v>
      </c>
      <c r="I192" s="198" t="s">
        <v>439</v>
      </c>
      <c r="J192" s="198" t="s">
        <v>440</v>
      </c>
    </row>
    <row r="193" spans="8:10" x14ac:dyDescent="0.25">
      <c r="H193" s="198" t="s">
        <v>829</v>
      </c>
      <c r="I193" s="198" t="s">
        <v>445</v>
      </c>
      <c r="J193" s="198" t="s">
        <v>453</v>
      </c>
    </row>
    <row r="194" spans="8:10" x14ac:dyDescent="0.25">
      <c r="H194" s="198" t="s">
        <v>830</v>
      </c>
      <c r="I194" s="198" t="s">
        <v>462</v>
      </c>
      <c r="J194" s="198" t="s">
        <v>467</v>
      </c>
    </row>
    <row r="195" spans="8:10" x14ac:dyDescent="0.25">
      <c r="H195" s="198" t="s">
        <v>831</v>
      </c>
      <c r="I195" s="198" t="s">
        <v>462</v>
      </c>
      <c r="J195" s="198" t="s">
        <v>463</v>
      </c>
    </row>
    <row r="196" spans="8:10" x14ac:dyDescent="0.25">
      <c r="H196" s="198" t="s">
        <v>760</v>
      </c>
      <c r="I196" s="198" t="s">
        <v>442</v>
      </c>
      <c r="J196" s="198" t="s">
        <v>447</v>
      </c>
    </row>
    <row r="197" spans="8:10" x14ac:dyDescent="0.25">
      <c r="H197" s="198" t="s">
        <v>832</v>
      </c>
      <c r="I197" s="198" t="s">
        <v>439</v>
      </c>
      <c r="J197" s="198" t="s">
        <v>440</v>
      </c>
    </row>
    <row r="198" spans="8:10" x14ac:dyDescent="0.25">
      <c r="H198" s="198" t="s">
        <v>833</v>
      </c>
      <c r="I198" s="198" t="s">
        <v>445</v>
      </c>
      <c r="J198" s="198" t="s">
        <v>453</v>
      </c>
    </row>
    <row r="199" spans="8:10" x14ac:dyDescent="0.25">
      <c r="H199" s="198" t="s">
        <v>688</v>
      </c>
      <c r="I199" s="198" t="s">
        <v>442</v>
      </c>
      <c r="J199" s="198" t="s">
        <v>447</v>
      </c>
    </row>
    <row r="200" spans="8:10" x14ac:dyDescent="0.25">
      <c r="H200" s="198" t="s">
        <v>638</v>
      </c>
      <c r="I200" s="198" t="s">
        <v>442</v>
      </c>
      <c r="J200" s="198" t="s">
        <v>447</v>
      </c>
    </row>
    <row r="201" spans="8:10" x14ac:dyDescent="0.25">
      <c r="H201" s="198" t="s">
        <v>666</v>
      </c>
      <c r="I201" s="198" t="s">
        <v>442</v>
      </c>
      <c r="J201" s="198" t="s">
        <v>447</v>
      </c>
    </row>
    <row r="202" spans="8:10" x14ac:dyDescent="0.25">
      <c r="H202" s="198" t="s">
        <v>834</v>
      </c>
      <c r="I202" s="198" t="s">
        <v>445</v>
      </c>
      <c r="J202" s="198" t="s">
        <v>453</v>
      </c>
    </row>
    <row r="203" spans="8:10" x14ac:dyDescent="0.25">
      <c r="H203" s="198" t="s">
        <v>670</v>
      </c>
      <c r="I203" s="198" t="s">
        <v>442</v>
      </c>
      <c r="J203" s="198" t="s">
        <v>447</v>
      </c>
    </row>
    <row r="204" spans="8:10" x14ac:dyDescent="0.25">
      <c r="H204" s="198" t="s">
        <v>698</v>
      </c>
      <c r="I204" s="198" t="s">
        <v>442</v>
      </c>
      <c r="J204" s="198" t="s">
        <v>447</v>
      </c>
    </row>
    <row r="205" spans="8:10" x14ac:dyDescent="0.25">
      <c r="H205" s="198" t="s">
        <v>835</v>
      </c>
      <c r="I205" s="198" t="s">
        <v>445</v>
      </c>
      <c r="J205" s="198" t="s">
        <v>453</v>
      </c>
    </row>
    <row r="206" spans="8:10" x14ac:dyDescent="0.25">
      <c r="H206" s="198" t="s">
        <v>836</v>
      </c>
      <c r="I206" s="198" t="s">
        <v>462</v>
      </c>
      <c r="J206" s="198" t="s">
        <v>463</v>
      </c>
    </row>
    <row r="207" spans="8:10" x14ac:dyDescent="0.25">
      <c r="H207" s="198" t="s">
        <v>837</v>
      </c>
      <c r="I207" s="198" t="s">
        <v>462</v>
      </c>
      <c r="J207" s="198" t="s">
        <v>463</v>
      </c>
    </row>
    <row r="208" spans="8:10" x14ac:dyDescent="0.25">
      <c r="H208" s="198" t="s">
        <v>838</v>
      </c>
      <c r="I208" s="198" t="s">
        <v>445</v>
      </c>
      <c r="J208" s="198" t="s">
        <v>453</v>
      </c>
    </row>
    <row r="209" spans="8:10" x14ac:dyDescent="0.25">
      <c r="H209" s="198" t="s">
        <v>839</v>
      </c>
      <c r="I209" s="198" t="s">
        <v>439</v>
      </c>
      <c r="J209" s="198" t="s">
        <v>440</v>
      </c>
    </row>
    <row r="210" spans="8:10" x14ac:dyDescent="0.25">
      <c r="H210" s="198" t="s">
        <v>707</v>
      </c>
      <c r="I210" s="198" t="s">
        <v>442</v>
      </c>
      <c r="J210" s="198" t="s">
        <v>447</v>
      </c>
    </row>
    <row r="211" spans="8:10" x14ac:dyDescent="0.25">
      <c r="H211" s="198" t="s">
        <v>540</v>
      </c>
      <c r="I211" s="198" t="s">
        <v>439</v>
      </c>
      <c r="J211" s="198" t="s">
        <v>440</v>
      </c>
    </row>
    <row r="212" spans="8:10" x14ac:dyDescent="0.25">
      <c r="H212" s="198" t="s">
        <v>840</v>
      </c>
      <c r="I212" s="198" t="s">
        <v>439</v>
      </c>
      <c r="J212" s="198" t="s">
        <v>440</v>
      </c>
    </row>
    <row r="213" spans="8:10" x14ac:dyDescent="0.25">
      <c r="H213" s="198" t="s">
        <v>556</v>
      </c>
      <c r="I213" s="198" t="s">
        <v>439</v>
      </c>
      <c r="J213" s="198" t="s">
        <v>440</v>
      </c>
    </row>
    <row r="214" spans="8:10" x14ac:dyDescent="0.25">
      <c r="H214" s="198" t="s">
        <v>841</v>
      </c>
      <c r="I214" s="198" t="s">
        <v>445</v>
      </c>
      <c r="J214" s="198" t="s">
        <v>453</v>
      </c>
    </row>
    <row r="215" spans="8:10" x14ac:dyDescent="0.25">
      <c r="H215" s="198" t="s">
        <v>842</v>
      </c>
      <c r="I215" s="198" t="s">
        <v>462</v>
      </c>
      <c r="J215" s="198" t="s">
        <v>467</v>
      </c>
    </row>
    <row r="216" spans="8:10" x14ac:dyDescent="0.25">
      <c r="H216" s="198" t="s">
        <v>843</v>
      </c>
      <c r="I216" s="198" t="s">
        <v>445</v>
      </c>
      <c r="J216" s="198" t="s">
        <v>453</v>
      </c>
    </row>
    <row r="217" spans="8:10" x14ac:dyDescent="0.25">
      <c r="H217" s="198" t="s">
        <v>844</v>
      </c>
      <c r="I217" s="198" t="s">
        <v>439</v>
      </c>
      <c r="J217" s="198" t="s">
        <v>440</v>
      </c>
    </row>
    <row r="218" spans="8:10" x14ac:dyDescent="0.25">
      <c r="H218" s="198" t="s">
        <v>845</v>
      </c>
      <c r="I218" s="198" t="s">
        <v>445</v>
      </c>
      <c r="J218" s="198" t="s">
        <v>453</v>
      </c>
    </row>
    <row r="219" spans="8:10" x14ac:dyDescent="0.25">
      <c r="H219" s="198" t="s">
        <v>846</v>
      </c>
      <c r="I219" s="198" t="s">
        <v>439</v>
      </c>
      <c r="J219" s="198" t="s">
        <v>440</v>
      </c>
    </row>
    <row r="220" spans="8:10" x14ac:dyDescent="0.25">
      <c r="H220" s="198" t="s">
        <v>464</v>
      </c>
      <c r="I220" s="198" t="s">
        <v>442</v>
      </c>
      <c r="J220" s="198" t="s">
        <v>447</v>
      </c>
    </row>
    <row r="221" spans="8:10" x14ac:dyDescent="0.25">
      <c r="H221" s="198" t="s">
        <v>847</v>
      </c>
      <c r="I221" s="198" t="s">
        <v>462</v>
      </c>
      <c r="J221" s="198" t="s">
        <v>463</v>
      </c>
    </row>
    <row r="222" spans="8:10" x14ac:dyDescent="0.25">
      <c r="H222" s="198" t="s">
        <v>848</v>
      </c>
      <c r="I222" s="198" t="s">
        <v>462</v>
      </c>
      <c r="J222" s="198" t="s">
        <v>463</v>
      </c>
    </row>
    <row r="223" spans="8:10" x14ac:dyDescent="0.25">
      <c r="H223" s="198" t="s">
        <v>849</v>
      </c>
      <c r="I223" s="198" t="s">
        <v>445</v>
      </c>
      <c r="J223" s="198" t="s">
        <v>453</v>
      </c>
    </row>
    <row r="224" spans="8:10" x14ac:dyDescent="0.25">
      <c r="H224" s="198" t="s">
        <v>850</v>
      </c>
      <c r="I224" s="198" t="s">
        <v>445</v>
      </c>
      <c r="J224" s="198" t="s">
        <v>453</v>
      </c>
    </row>
    <row r="225" spans="8:10" x14ac:dyDescent="0.25">
      <c r="H225" s="198" t="s">
        <v>851</v>
      </c>
      <c r="I225" s="198" t="s">
        <v>445</v>
      </c>
      <c r="J225" s="198" t="s">
        <v>453</v>
      </c>
    </row>
    <row r="226" spans="8:10" x14ac:dyDescent="0.25">
      <c r="H226" s="198" t="s">
        <v>852</v>
      </c>
      <c r="I226" s="198" t="s">
        <v>462</v>
      </c>
      <c r="J226" s="198" t="s">
        <v>463</v>
      </c>
    </row>
    <row r="227" spans="8:10" x14ac:dyDescent="0.25">
      <c r="H227" s="198" t="s">
        <v>853</v>
      </c>
      <c r="I227" s="198" t="s">
        <v>439</v>
      </c>
      <c r="J227" s="198" t="s">
        <v>440</v>
      </c>
    </row>
    <row r="228" spans="8:10" x14ac:dyDescent="0.25">
      <c r="H228" s="198" t="s">
        <v>854</v>
      </c>
      <c r="I228" s="198" t="s">
        <v>442</v>
      </c>
      <c r="J228" s="198" t="s">
        <v>447</v>
      </c>
    </row>
    <row r="229" spans="8:10" x14ac:dyDescent="0.25">
      <c r="H229" s="198" t="s">
        <v>718</v>
      </c>
      <c r="I229" s="198" t="s">
        <v>442</v>
      </c>
      <c r="J229" s="198" t="s">
        <v>447</v>
      </c>
    </row>
    <row r="230" spans="8:10" x14ac:dyDescent="0.25">
      <c r="H230" s="198" t="s">
        <v>725</v>
      </c>
      <c r="I230" s="198" t="s">
        <v>442</v>
      </c>
      <c r="J230" s="198" t="s">
        <v>447</v>
      </c>
    </row>
    <row r="231" spans="8:10" x14ac:dyDescent="0.25">
      <c r="H231" s="198" t="s">
        <v>732</v>
      </c>
      <c r="I231" s="198" t="s">
        <v>442</v>
      </c>
      <c r="J231" s="198" t="s">
        <v>447</v>
      </c>
    </row>
    <row r="232" spans="8:10" x14ac:dyDescent="0.25">
      <c r="H232" s="198" t="s">
        <v>855</v>
      </c>
      <c r="I232" s="198" t="s">
        <v>439</v>
      </c>
      <c r="J232" s="198" t="s">
        <v>440</v>
      </c>
    </row>
    <row r="233" spans="8:10" x14ac:dyDescent="0.25">
      <c r="H233" s="198" t="s">
        <v>439</v>
      </c>
      <c r="I233" s="198" t="s">
        <v>439</v>
      </c>
      <c r="J233" s="198" t="s">
        <v>440</v>
      </c>
    </row>
    <row r="234" spans="8:10" x14ac:dyDescent="0.25">
      <c r="H234" s="198" t="s">
        <v>856</v>
      </c>
      <c r="I234" s="198" t="s">
        <v>445</v>
      </c>
      <c r="J234" s="198" t="s">
        <v>453</v>
      </c>
    </row>
    <row r="235" spans="8:10" x14ac:dyDescent="0.25">
      <c r="H235" s="198" t="s">
        <v>857</v>
      </c>
      <c r="I235" s="198" t="s">
        <v>445</v>
      </c>
      <c r="J235" s="198" t="s">
        <v>453</v>
      </c>
    </row>
    <row r="236" spans="8:10" x14ac:dyDescent="0.25">
      <c r="H236" s="198" t="s">
        <v>697</v>
      </c>
      <c r="I236" s="198" t="s">
        <v>442</v>
      </c>
      <c r="J236" s="198" t="s">
        <v>447</v>
      </c>
    </row>
    <row r="237" spans="8:10" x14ac:dyDescent="0.25">
      <c r="H237" s="198" t="s">
        <v>858</v>
      </c>
      <c r="I237" s="198" t="s">
        <v>442</v>
      </c>
      <c r="J237" s="198" t="s">
        <v>447</v>
      </c>
    </row>
    <row r="238" spans="8:10" x14ac:dyDescent="0.25">
      <c r="H238" s="198" t="s">
        <v>555</v>
      </c>
      <c r="I238" s="198" t="s">
        <v>442</v>
      </c>
      <c r="J238" s="198" t="s">
        <v>447</v>
      </c>
    </row>
    <row r="239" spans="8:10" x14ac:dyDescent="0.25">
      <c r="H239" s="198" t="s">
        <v>859</v>
      </c>
      <c r="I239" s="198" t="s">
        <v>439</v>
      </c>
      <c r="J239" s="198" t="s">
        <v>440</v>
      </c>
    </row>
    <row r="240" spans="8:10" x14ac:dyDescent="0.25">
      <c r="H240" s="198" t="s">
        <v>860</v>
      </c>
      <c r="I240" s="198" t="s">
        <v>439</v>
      </c>
      <c r="J240" s="198" t="s">
        <v>440</v>
      </c>
    </row>
    <row r="241" spans="8:10" x14ac:dyDescent="0.25">
      <c r="H241" s="198" t="s">
        <v>740</v>
      </c>
      <c r="I241" s="198" t="s">
        <v>442</v>
      </c>
      <c r="J241" s="198" t="s">
        <v>447</v>
      </c>
    </row>
    <row r="242" spans="8:10" x14ac:dyDescent="0.25">
      <c r="H242" s="198" t="s">
        <v>861</v>
      </c>
      <c r="I242" s="198" t="s">
        <v>445</v>
      </c>
      <c r="J242" s="198" t="s">
        <v>453</v>
      </c>
    </row>
    <row r="243" spans="8:10" x14ac:dyDescent="0.25">
      <c r="H243" s="198" t="s">
        <v>862</v>
      </c>
      <c r="I243" s="198" t="s">
        <v>445</v>
      </c>
      <c r="J243" s="198" t="s">
        <v>453</v>
      </c>
    </row>
    <row r="244" spans="8:10" x14ac:dyDescent="0.25">
      <c r="H244" s="198" t="s">
        <v>863</v>
      </c>
      <c r="I244" s="198" t="s">
        <v>439</v>
      </c>
      <c r="J244" s="198" t="s">
        <v>440</v>
      </c>
    </row>
    <row r="245" spans="8:10" x14ac:dyDescent="0.25">
      <c r="H245" s="198" t="s">
        <v>864</v>
      </c>
      <c r="I245" s="198" t="s">
        <v>445</v>
      </c>
      <c r="J245" s="198" t="s">
        <v>453</v>
      </c>
    </row>
    <row r="246" spans="8:10" x14ac:dyDescent="0.25">
      <c r="H246" s="198" t="s">
        <v>865</v>
      </c>
      <c r="I246" s="198" t="s">
        <v>445</v>
      </c>
      <c r="J246" s="198" t="s">
        <v>453</v>
      </c>
    </row>
    <row r="247" spans="8:10" x14ac:dyDescent="0.25">
      <c r="H247" s="198" t="s">
        <v>866</v>
      </c>
      <c r="I247" s="198" t="s">
        <v>445</v>
      </c>
      <c r="J247" s="198" t="s">
        <v>453</v>
      </c>
    </row>
    <row r="248" spans="8:10" x14ac:dyDescent="0.25">
      <c r="H248" s="198" t="s">
        <v>867</v>
      </c>
      <c r="I248" s="198" t="s">
        <v>462</v>
      </c>
      <c r="J248" s="198" t="s">
        <v>463</v>
      </c>
    </row>
    <row r="249" spans="8:10" x14ac:dyDescent="0.25">
      <c r="H249" s="198" t="s">
        <v>868</v>
      </c>
      <c r="I249" s="198" t="s">
        <v>445</v>
      </c>
      <c r="J249" s="198" t="s">
        <v>453</v>
      </c>
    </row>
    <row r="250" spans="8:10" x14ac:dyDescent="0.25">
      <c r="H250" s="198" t="s">
        <v>869</v>
      </c>
      <c r="I250" s="198" t="s">
        <v>439</v>
      </c>
      <c r="J250" s="198" t="s">
        <v>440</v>
      </c>
    </row>
    <row r="251" spans="8:10" x14ac:dyDescent="0.25">
      <c r="H251" s="198" t="s">
        <v>870</v>
      </c>
      <c r="I251" s="198" t="s">
        <v>439</v>
      </c>
      <c r="J251" s="198" t="s">
        <v>440</v>
      </c>
    </row>
    <row r="252" spans="8:10" x14ac:dyDescent="0.25">
      <c r="H252" s="198" t="s">
        <v>871</v>
      </c>
      <c r="I252" s="198" t="s">
        <v>439</v>
      </c>
      <c r="J252" s="198" t="s">
        <v>440</v>
      </c>
    </row>
    <row r="253" spans="8:10" x14ac:dyDescent="0.25">
      <c r="H253" s="198" t="s">
        <v>470</v>
      </c>
      <c r="I253" s="198" t="s">
        <v>442</v>
      </c>
      <c r="J253" s="198" t="s">
        <v>447</v>
      </c>
    </row>
    <row r="254" spans="8:10" x14ac:dyDescent="0.25">
      <c r="H254" s="198" t="s">
        <v>872</v>
      </c>
      <c r="I254" s="198" t="s">
        <v>439</v>
      </c>
      <c r="J254" s="198" t="s">
        <v>440</v>
      </c>
    </row>
    <row r="255" spans="8:10" x14ac:dyDescent="0.25">
      <c r="H255" s="198" t="s">
        <v>517</v>
      </c>
      <c r="I255" s="198" t="s">
        <v>439</v>
      </c>
      <c r="J255" s="198" t="s">
        <v>440</v>
      </c>
    </row>
    <row r="256" spans="8:10" x14ac:dyDescent="0.25">
      <c r="H256" s="198" t="s">
        <v>873</v>
      </c>
      <c r="I256" s="198" t="s">
        <v>445</v>
      </c>
      <c r="J256" s="198" t="s">
        <v>453</v>
      </c>
    </row>
    <row r="257" spans="8:10" x14ac:dyDescent="0.25">
      <c r="H257" s="198" t="s">
        <v>713</v>
      </c>
      <c r="I257" s="198" t="s">
        <v>442</v>
      </c>
      <c r="J257" s="198" t="s">
        <v>447</v>
      </c>
    </row>
    <row r="258" spans="8:10" x14ac:dyDescent="0.25">
      <c r="H258" s="198" t="s">
        <v>874</v>
      </c>
      <c r="I258" s="198" t="s">
        <v>462</v>
      </c>
      <c r="J258" s="198" t="s">
        <v>467</v>
      </c>
    </row>
    <row r="259" spans="8:10" x14ac:dyDescent="0.25">
      <c r="H259" s="198" t="s">
        <v>875</v>
      </c>
      <c r="I259" s="198" t="s">
        <v>445</v>
      </c>
      <c r="J259" s="198" t="s">
        <v>453</v>
      </c>
    </row>
    <row r="260" spans="8:10" x14ac:dyDescent="0.25">
      <c r="H260" s="198" t="s">
        <v>876</v>
      </c>
      <c r="I260" s="198" t="s">
        <v>462</v>
      </c>
      <c r="J260" s="198" t="s">
        <v>467</v>
      </c>
    </row>
    <row r="261" spans="8:10" x14ac:dyDescent="0.25">
      <c r="H261" s="198" t="s">
        <v>610</v>
      </c>
      <c r="I261" s="198" t="s">
        <v>462</v>
      </c>
      <c r="J261" s="198" t="s">
        <v>463</v>
      </c>
    </row>
    <row r="262" spans="8:10" x14ac:dyDescent="0.25">
      <c r="H262" s="198" t="s">
        <v>604</v>
      </c>
      <c r="I262" s="198" t="s">
        <v>442</v>
      </c>
      <c r="J262" s="198" t="s">
        <v>447</v>
      </c>
    </row>
    <row r="263" spans="8:10" x14ac:dyDescent="0.25">
      <c r="H263" s="198" t="s">
        <v>877</v>
      </c>
      <c r="I263" s="198" t="s">
        <v>462</v>
      </c>
      <c r="J263" s="198" t="s">
        <v>467</v>
      </c>
    </row>
    <row r="264" spans="8:10" x14ac:dyDescent="0.25">
      <c r="H264" s="198" t="s">
        <v>751</v>
      </c>
      <c r="I264" s="198" t="s">
        <v>442</v>
      </c>
      <c r="J264" s="198" t="s">
        <v>447</v>
      </c>
    </row>
    <row r="265" spans="8:10" x14ac:dyDescent="0.25">
      <c r="H265" s="198" t="s">
        <v>878</v>
      </c>
      <c r="I265" s="198" t="s">
        <v>439</v>
      </c>
      <c r="J265" s="198" t="s">
        <v>440</v>
      </c>
    </row>
    <row r="266" spans="8:10" x14ac:dyDescent="0.25">
      <c r="H266" s="198" t="s">
        <v>879</v>
      </c>
      <c r="I266" s="198" t="s">
        <v>445</v>
      </c>
      <c r="J266" s="198" t="s">
        <v>453</v>
      </c>
    </row>
    <row r="267" spans="8:10" x14ac:dyDescent="0.25">
      <c r="H267" s="198" t="s">
        <v>880</v>
      </c>
      <c r="I267" s="198" t="s">
        <v>442</v>
      </c>
      <c r="J267" s="198" t="s">
        <v>447</v>
      </c>
    </row>
    <row r="268" spans="8:10" x14ac:dyDescent="0.25">
      <c r="H268" s="198" t="s">
        <v>462</v>
      </c>
      <c r="I268" s="198" t="s">
        <v>462</v>
      </c>
      <c r="J268" s="198" t="s">
        <v>467</v>
      </c>
    </row>
    <row r="269" spans="8:10" x14ac:dyDescent="0.25">
      <c r="H269" s="198" t="s">
        <v>881</v>
      </c>
      <c r="I269" s="198" t="s">
        <v>439</v>
      </c>
      <c r="J269" s="198" t="s">
        <v>440</v>
      </c>
    </row>
    <row r="270" spans="8:10" x14ac:dyDescent="0.25">
      <c r="H270" s="198" t="s">
        <v>882</v>
      </c>
      <c r="I270" s="198" t="s">
        <v>462</v>
      </c>
      <c r="J270" s="198" t="s">
        <v>463</v>
      </c>
    </row>
    <row r="271" spans="8:10" x14ac:dyDescent="0.25">
      <c r="H271" s="198" t="s">
        <v>883</v>
      </c>
      <c r="I271" s="198" t="s">
        <v>462</v>
      </c>
      <c r="J271" s="198" t="s">
        <v>467</v>
      </c>
    </row>
    <row r="272" spans="8:10" x14ac:dyDescent="0.25">
      <c r="H272" s="198" t="s">
        <v>715</v>
      </c>
      <c r="I272" s="198" t="s">
        <v>442</v>
      </c>
      <c r="J272" s="198" t="s">
        <v>447</v>
      </c>
    </row>
    <row r="273" spans="8:10" x14ac:dyDescent="0.25">
      <c r="H273" s="198" t="s">
        <v>884</v>
      </c>
      <c r="I273" s="198" t="s">
        <v>445</v>
      </c>
      <c r="J273" s="198" t="s">
        <v>453</v>
      </c>
    </row>
    <row r="274" spans="8:10" x14ac:dyDescent="0.25">
      <c r="H274" s="198" t="s">
        <v>885</v>
      </c>
      <c r="I274" s="198" t="s">
        <v>439</v>
      </c>
      <c r="J274" s="198" t="s">
        <v>440</v>
      </c>
    </row>
    <row r="275" spans="8:10" x14ac:dyDescent="0.25">
      <c r="H275" s="198" t="s">
        <v>886</v>
      </c>
      <c r="I275" s="198" t="s">
        <v>439</v>
      </c>
      <c r="J275" s="198" t="s">
        <v>440</v>
      </c>
    </row>
    <row r="276" spans="8:10" x14ac:dyDescent="0.25">
      <c r="H276" s="198" t="s">
        <v>481</v>
      </c>
      <c r="I276" s="198" t="s">
        <v>445</v>
      </c>
      <c r="J276" s="198" t="s">
        <v>453</v>
      </c>
    </row>
    <row r="277" spans="8:10" x14ac:dyDescent="0.25">
      <c r="H277" s="198" t="s">
        <v>887</v>
      </c>
      <c r="I277" s="198" t="s">
        <v>445</v>
      </c>
      <c r="J277" s="198" t="s">
        <v>453</v>
      </c>
    </row>
    <row r="278" spans="8:10" x14ac:dyDescent="0.25">
      <c r="H278" s="198" t="s">
        <v>888</v>
      </c>
      <c r="I278" s="198" t="s">
        <v>439</v>
      </c>
      <c r="J278" s="198" t="s">
        <v>440</v>
      </c>
    </row>
    <row r="279" spans="8:10" x14ac:dyDescent="0.25">
      <c r="H279" s="198" t="s">
        <v>889</v>
      </c>
      <c r="I279" s="198" t="s">
        <v>439</v>
      </c>
      <c r="J279" s="198" t="s">
        <v>440</v>
      </c>
    </row>
    <row r="280" spans="8:10" x14ac:dyDescent="0.25">
      <c r="H280" s="198" t="s">
        <v>622</v>
      </c>
      <c r="I280" s="198" t="s">
        <v>462</v>
      </c>
      <c r="J280" s="198" t="s">
        <v>463</v>
      </c>
    </row>
    <row r="281" spans="8:10" x14ac:dyDescent="0.25">
      <c r="H281" s="198" t="s">
        <v>745</v>
      </c>
      <c r="I281" s="198" t="s">
        <v>442</v>
      </c>
      <c r="J281" s="198" t="s">
        <v>447</v>
      </c>
    </row>
    <row r="282" spans="8:10" x14ac:dyDescent="0.25">
      <c r="H282" s="198" t="s">
        <v>561</v>
      </c>
      <c r="I282" s="198" t="s">
        <v>439</v>
      </c>
      <c r="J282" s="198" t="s">
        <v>440</v>
      </c>
    </row>
    <row r="283" spans="8:10" x14ac:dyDescent="0.25">
      <c r="H283" s="198" t="s">
        <v>486</v>
      </c>
      <c r="I283" s="198" t="s">
        <v>445</v>
      </c>
      <c r="J283" s="198" t="s">
        <v>453</v>
      </c>
    </row>
    <row r="284" spans="8:10" x14ac:dyDescent="0.25">
      <c r="H284" s="198" t="s">
        <v>890</v>
      </c>
      <c r="I284" s="198" t="s">
        <v>462</v>
      </c>
      <c r="J284" s="198" t="s">
        <v>467</v>
      </c>
    </row>
    <row r="285" spans="8:10" x14ac:dyDescent="0.25">
      <c r="H285" s="198" t="s">
        <v>891</v>
      </c>
      <c r="I285" s="198" t="s">
        <v>445</v>
      </c>
      <c r="J285" s="198" t="s">
        <v>453</v>
      </c>
    </row>
    <row r="286" spans="8:10" x14ac:dyDescent="0.25">
      <c r="H286" s="198" t="s">
        <v>714</v>
      </c>
      <c r="I286" s="198" t="s">
        <v>442</v>
      </c>
      <c r="J286" s="198" t="s">
        <v>447</v>
      </c>
    </row>
    <row r="287" spans="8:10" x14ac:dyDescent="0.25">
      <c r="H287" s="198" t="s">
        <v>892</v>
      </c>
      <c r="I287" s="198" t="s">
        <v>445</v>
      </c>
      <c r="J287" s="198" t="s">
        <v>453</v>
      </c>
    </row>
    <row r="288" spans="8:10" x14ac:dyDescent="0.25">
      <c r="H288" s="198" t="s">
        <v>893</v>
      </c>
      <c r="I288" s="198" t="s">
        <v>439</v>
      </c>
      <c r="J288" s="198" t="s">
        <v>440</v>
      </c>
    </row>
    <row r="289" spans="8:10" x14ac:dyDescent="0.25">
      <c r="H289" s="198" t="s">
        <v>894</v>
      </c>
      <c r="I289" s="198" t="s">
        <v>445</v>
      </c>
      <c r="J289" s="198" t="s">
        <v>453</v>
      </c>
    </row>
    <row r="290" spans="8:10" x14ac:dyDescent="0.25">
      <c r="H290" s="198" t="s">
        <v>895</v>
      </c>
      <c r="I290" s="198" t="s">
        <v>462</v>
      </c>
      <c r="J290" s="198" t="s">
        <v>467</v>
      </c>
    </row>
    <row r="291" spans="8:10" x14ac:dyDescent="0.25">
      <c r="H291" s="198" t="s">
        <v>747</v>
      </c>
      <c r="I291" s="198" t="s">
        <v>442</v>
      </c>
      <c r="J291" s="198" t="s">
        <v>447</v>
      </c>
    </row>
    <row r="292" spans="8:10" x14ac:dyDescent="0.25">
      <c r="H292" s="198" t="s">
        <v>896</v>
      </c>
      <c r="I292" s="198" t="s">
        <v>462</v>
      </c>
      <c r="J292" s="198" t="s">
        <v>463</v>
      </c>
    </row>
    <row r="293" spans="8:10" x14ac:dyDescent="0.25">
      <c r="H293" s="198" t="s">
        <v>897</v>
      </c>
      <c r="I293" s="198" t="s">
        <v>439</v>
      </c>
      <c r="J293" s="198" t="s">
        <v>440</v>
      </c>
    </row>
    <row r="294" spans="8:10" x14ac:dyDescent="0.25">
      <c r="H294" s="198" t="s">
        <v>898</v>
      </c>
      <c r="I294" s="198" t="s">
        <v>439</v>
      </c>
      <c r="J294" s="198" t="s">
        <v>440</v>
      </c>
    </row>
    <row r="295" spans="8:10" x14ac:dyDescent="0.25">
      <c r="H295" s="198" t="s">
        <v>560</v>
      </c>
      <c r="I295" s="198" t="s">
        <v>442</v>
      </c>
      <c r="J295" s="198" t="s">
        <v>447</v>
      </c>
    </row>
    <row r="296" spans="8:10" x14ac:dyDescent="0.25">
      <c r="H296" s="198" t="s">
        <v>899</v>
      </c>
      <c r="I296" s="198" t="s">
        <v>462</v>
      </c>
      <c r="J296" s="198" t="s">
        <v>463</v>
      </c>
    </row>
    <row r="297" spans="8:10" x14ac:dyDescent="0.25">
      <c r="H297" s="198" t="s">
        <v>900</v>
      </c>
      <c r="I297" s="198" t="s">
        <v>462</v>
      </c>
      <c r="J297" s="198" t="s">
        <v>463</v>
      </c>
    </row>
    <row r="298" spans="8:10" x14ac:dyDescent="0.25">
      <c r="H298" s="198" t="s">
        <v>901</v>
      </c>
      <c r="I298" s="198" t="s">
        <v>445</v>
      </c>
      <c r="J298" s="198" t="s">
        <v>453</v>
      </c>
    </row>
    <row r="299" spans="8:10" x14ac:dyDescent="0.25">
      <c r="H299" s="198" t="s">
        <v>902</v>
      </c>
      <c r="I299" s="198" t="s">
        <v>439</v>
      </c>
      <c r="J299" s="198" t="s">
        <v>440</v>
      </c>
    </row>
    <row r="300" spans="8:10" x14ac:dyDescent="0.25">
      <c r="H300" s="198" t="s">
        <v>903</v>
      </c>
      <c r="I300" s="198" t="s">
        <v>439</v>
      </c>
      <c r="J300" s="198" t="s">
        <v>440</v>
      </c>
    </row>
    <row r="301" spans="8:10" x14ac:dyDescent="0.25">
      <c r="H301" s="198" t="s">
        <v>904</v>
      </c>
      <c r="I301" s="198" t="s">
        <v>439</v>
      </c>
      <c r="J301" s="198" t="s">
        <v>440</v>
      </c>
    </row>
    <row r="302" spans="8:10" x14ac:dyDescent="0.25">
      <c r="H302" s="198" t="s">
        <v>674</v>
      </c>
      <c r="I302" s="198" t="s">
        <v>442</v>
      </c>
      <c r="J302" s="198" t="s">
        <v>447</v>
      </c>
    </row>
    <row r="303" spans="8:10" x14ac:dyDescent="0.25">
      <c r="H303" s="198" t="s">
        <v>905</v>
      </c>
      <c r="I303" s="198" t="s">
        <v>439</v>
      </c>
      <c r="J303" s="198" t="s">
        <v>440</v>
      </c>
    </row>
    <row r="304" spans="8:10" x14ac:dyDescent="0.25">
      <c r="H304" s="198" t="s">
        <v>906</v>
      </c>
      <c r="I304" s="198" t="s">
        <v>439</v>
      </c>
      <c r="J304" s="198" t="s">
        <v>440</v>
      </c>
    </row>
    <row r="305" spans="8:10" x14ac:dyDescent="0.25">
      <c r="H305" s="198" t="s">
        <v>705</v>
      </c>
      <c r="I305" s="198" t="s">
        <v>442</v>
      </c>
      <c r="J305" s="198" t="s">
        <v>447</v>
      </c>
    </row>
    <row r="306" spans="8:10" x14ac:dyDescent="0.25">
      <c r="H306" s="198" t="s">
        <v>764</v>
      </c>
      <c r="I306" s="198" t="s">
        <v>442</v>
      </c>
      <c r="J306" s="198" t="s">
        <v>447</v>
      </c>
    </row>
    <row r="307" spans="8:10" x14ac:dyDescent="0.25">
      <c r="H307" s="198" t="s">
        <v>474</v>
      </c>
      <c r="I307" s="198" t="s">
        <v>442</v>
      </c>
      <c r="J307" s="198" t="s">
        <v>447</v>
      </c>
    </row>
    <row r="308" spans="8:10" x14ac:dyDescent="0.25">
      <c r="H308" s="198" t="s">
        <v>907</v>
      </c>
      <c r="I308" s="198" t="s">
        <v>462</v>
      </c>
      <c r="J308" s="198" t="s">
        <v>467</v>
      </c>
    </row>
    <row r="309" spans="8:10" x14ac:dyDescent="0.25">
      <c r="H309" s="198" t="s">
        <v>908</v>
      </c>
      <c r="I309" s="198" t="s">
        <v>439</v>
      </c>
      <c r="J309" s="198" t="s">
        <v>440</v>
      </c>
    </row>
    <row r="310" spans="8:10" x14ac:dyDescent="0.25">
      <c r="H310" s="198" t="s">
        <v>492</v>
      </c>
      <c r="I310" s="198" t="s">
        <v>445</v>
      </c>
      <c r="J310" s="198" t="s">
        <v>453</v>
      </c>
    </row>
    <row r="311" spans="8:10" x14ac:dyDescent="0.25">
      <c r="H311" s="198" t="s">
        <v>909</v>
      </c>
      <c r="I311" s="198" t="s">
        <v>445</v>
      </c>
      <c r="J311" s="198" t="s">
        <v>453</v>
      </c>
    </row>
    <row r="312" spans="8:10" x14ac:dyDescent="0.25">
      <c r="H312" s="198" t="s">
        <v>910</v>
      </c>
      <c r="I312" s="198" t="s">
        <v>462</v>
      </c>
      <c r="J312" s="198" t="s">
        <v>467</v>
      </c>
    </row>
    <row r="313" spans="8:10" x14ac:dyDescent="0.25">
      <c r="H313" s="198" t="s">
        <v>911</v>
      </c>
      <c r="I313" s="198" t="s">
        <v>445</v>
      </c>
      <c r="J313" s="198" t="s">
        <v>453</v>
      </c>
    </row>
    <row r="314" spans="8:10" x14ac:dyDescent="0.25">
      <c r="H314" s="198" t="s">
        <v>480</v>
      </c>
      <c r="I314" s="198" t="s">
        <v>442</v>
      </c>
      <c r="J314" s="198" t="s">
        <v>447</v>
      </c>
    </row>
    <row r="315" spans="8:10" x14ac:dyDescent="0.25">
      <c r="H315" s="198" t="s">
        <v>681</v>
      </c>
      <c r="I315" s="198" t="s">
        <v>442</v>
      </c>
      <c r="J315" s="198" t="s">
        <v>447</v>
      </c>
    </row>
    <row r="316" spans="8:10" x14ac:dyDescent="0.25">
      <c r="H316" s="198" t="s">
        <v>912</v>
      </c>
      <c r="I316" s="198" t="s">
        <v>462</v>
      </c>
      <c r="J316" s="198" t="s">
        <v>463</v>
      </c>
    </row>
    <row r="317" spans="8:10" x14ac:dyDescent="0.25">
      <c r="H317" s="198" t="s">
        <v>913</v>
      </c>
      <c r="I317" s="198" t="s">
        <v>445</v>
      </c>
      <c r="J317" s="198" t="s">
        <v>453</v>
      </c>
    </row>
    <row r="318" spans="8:10" x14ac:dyDescent="0.25">
      <c r="H318" s="198" t="s">
        <v>914</v>
      </c>
      <c r="I318" s="198" t="s">
        <v>439</v>
      </c>
      <c r="J318" s="198" t="s">
        <v>440</v>
      </c>
    </row>
    <row r="319" spans="8:10" x14ac:dyDescent="0.25">
      <c r="H319" s="198" t="s">
        <v>915</v>
      </c>
      <c r="I319" s="198" t="s">
        <v>439</v>
      </c>
      <c r="J319" s="198" t="s">
        <v>440</v>
      </c>
    </row>
    <row r="320" spans="8:10" x14ac:dyDescent="0.25">
      <c r="H320" s="198" t="s">
        <v>749</v>
      </c>
      <c r="I320" s="198" t="s">
        <v>442</v>
      </c>
      <c r="J320" s="198" t="s">
        <v>447</v>
      </c>
    </row>
    <row r="321" spans="8:10" x14ac:dyDescent="0.25">
      <c r="H321" s="198" t="s">
        <v>916</v>
      </c>
      <c r="I321" s="198" t="s">
        <v>439</v>
      </c>
      <c r="J321" s="198" t="s">
        <v>440</v>
      </c>
    </row>
    <row r="322" spans="8:10" x14ac:dyDescent="0.25">
      <c r="H322" s="198" t="s">
        <v>917</v>
      </c>
      <c r="I322" s="198" t="s">
        <v>462</v>
      </c>
      <c r="J322" s="198" t="s">
        <v>463</v>
      </c>
    </row>
    <row r="323" spans="8:10" x14ac:dyDescent="0.25">
      <c r="H323" s="198" t="s">
        <v>485</v>
      </c>
      <c r="I323" s="198" t="s">
        <v>442</v>
      </c>
      <c r="J323" s="198" t="s">
        <v>447</v>
      </c>
    </row>
    <row r="324" spans="8:10" x14ac:dyDescent="0.25">
      <c r="H324" s="198" t="s">
        <v>727</v>
      </c>
      <c r="I324" s="198" t="s">
        <v>442</v>
      </c>
      <c r="J324" s="198" t="s">
        <v>447</v>
      </c>
    </row>
    <row r="325" spans="8:10" x14ac:dyDescent="0.25">
      <c r="H325" s="198" t="s">
        <v>491</v>
      </c>
      <c r="I325" s="198" t="s">
        <v>442</v>
      </c>
      <c r="J325" s="198" t="s">
        <v>447</v>
      </c>
    </row>
    <row r="326" spans="8:10" x14ac:dyDescent="0.25">
      <c r="H326" s="198" t="s">
        <v>918</v>
      </c>
      <c r="I326" s="198" t="s">
        <v>445</v>
      </c>
      <c r="J326" s="198" t="s">
        <v>453</v>
      </c>
    </row>
    <row r="327" spans="8:10" x14ac:dyDescent="0.25">
      <c r="H327" s="198" t="s">
        <v>919</v>
      </c>
      <c r="I327" s="198" t="s">
        <v>439</v>
      </c>
      <c r="J327" s="198" t="s">
        <v>440</v>
      </c>
    </row>
    <row r="328" spans="8:10" x14ac:dyDescent="0.25">
      <c r="H328" s="198" t="s">
        <v>729</v>
      </c>
      <c r="I328" s="198" t="s">
        <v>442</v>
      </c>
      <c r="J328" s="198" t="s">
        <v>447</v>
      </c>
    </row>
    <row r="329" spans="8:10" x14ac:dyDescent="0.25">
      <c r="H329" s="198" t="s">
        <v>920</v>
      </c>
      <c r="I329" s="198" t="s">
        <v>445</v>
      </c>
      <c r="J329" s="198" t="s">
        <v>453</v>
      </c>
    </row>
    <row r="330" spans="8:10" x14ac:dyDescent="0.25">
      <c r="H330" s="198" t="s">
        <v>627</v>
      </c>
      <c r="I330" s="198" t="s">
        <v>462</v>
      </c>
      <c r="J330" s="198" t="s">
        <v>463</v>
      </c>
    </row>
    <row r="331" spans="8:10" x14ac:dyDescent="0.25">
      <c r="H331" s="198" t="s">
        <v>730</v>
      </c>
      <c r="I331" s="198" t="s">
        <v>442</v>
      </c>
      <c r="J331" s="198" t="s">
        <v>447</v>
      </c>
    </row>
    <row r="332" spans="8:10" x14ac:dyDescent="0.25">
      <c r="H332" s="198" t="s">
        <v>921</v>
      </c>
      <c r="I332" s="198" t="s">
        <v>445</v>
      </c>
      <c r="J332" s="198" t="s">
        <v>453</v>
      </c>
    </row>
    <row r="333" spans="8:10" x14ac:dyDescent="0.25">
      <c r="H333" s="198" t="s">
        <v>684</v>
      </c>
      <c r="I333" s="198" t="s">
        <v>442</v>
      </c>
      <c r="J333" s="198" t="s">
        <v>447</v>
      </c>
    </row>
    <row r="334" spans="8:10" x14ac:dyDescent="0.25">
      <c r="H334" s="198" t="s">
        <v>922</v>
      </c>
      <c r="I334" s="198" t="s">
        <v>462</v>
      </c>
      <c r="J334" s="198" t="s">
        <v>467</v>
      </c>
    </row>
    <row r="335" spans="8:10" x14ac:dyDescent="0.25">
      <c r="H335" s="198" t="s">
        <v>767</v>
      </c>
      <c r="I335" s="198" t="s">
        <v>442</v>
      </c>
      <c r="J335" s="198" t="s">
        <v>447</v>
      </c>
    </row>
    <row r="336" spans="8:10" x14ac:dyDescent="0.25">
      <c r="H336" s="198" t="s">
        <v>923</v>
      </c>
      <c r="I336" s="198" t="s">
        <v>439</v>
      </c>
      <c r="J336" s="198" t="s">
        <v>440</v>
      </c>
    </row>
    <row r="337" spans="8:10" x14ac:dyDescent="0.25">
      <c r="H337" s="198" t="s">
        <v>924</v>
      </c>
      <c r="I337" s="198" t="s">
        <v>439</v>
      </c>
      <c r="J337" s="198" t="s">
        <v>440</v>
      </c>
    </row>
    <row r="338" spans="8:10" x14ac:dyDescent="0.25">
      <c r="H338" s="198" t="s">
        <v>568</v>
      </c>
      <c r="I338" s="198" t="s">
        <v>439</v>
      </c>
      <c r="J338" s="198" t="s">
        <v>440</v>
      </c>
    </row>
    <row r="339" spans="8:10" x14ac:dyDescent="0.25">
      <c r="H339" s="198" t="s">
        <v>574</v>
      </c>
      <c r="I339" s="198" t="s">
        <v>439</v>
      </c>
      <c r="J339" s="198" t="s">
        <v>440</v>
      </c>
    </row>
    <row r="340" spans="8:10" x14ac:dyDescent="0.25">
      <c r="H340" s="198" t="s">
        <v>925</v>
      </c>
      <c r="I340" s="198" t="s">
        <v>445</v>
      </c>
      <c r="J340" s="198" t="s">
        <v>453</v>
      </c>
    </row>
    <row r="341" spans="8:10" x14ac:dyDescent="0.25">
      <c r="H341" s="198" t="s">
        <v>926</v>
      </c>
      <c r="I341" s="198" t="s">
        <v>462</v>
      </c>
      <c r="J341" s="198" t="s">
        <v>463</v>
      </c>
    </row>
    <row r="342" spans="8:10" x14ac:dyDescent="0.25">
      <c r="H342" s="198" t="s">
        <v>927</v>
      </c>
      <c r="I342" s="198" t="s">
        <v>462</v>
      </c>
      <c r="J342" s="198" t="s">
        <v>467</v>
      </c>
    </row>
    <row r="343" spans="8:10" x14ac:dyDescent="0.25">
      <c r="H343" s="198" t="s">
        <v>928</v>
      </c>
      <c r="I343" s="198" t="s">
        <v>462</v>
      </c>
      <c r="J343" s="198" t="s">
        <v>467</v>
      </c>
    </row>
    <row r="344" spans="8:10" x14ac:dyDescent="0.25">
      <c r="H344" s="198" t="s">
        <v>633</v>
      </c>
      <c r="I344" s="198" t="s">
        <v>462</v>
      </c>
      <c r="J344" s="198" t="s">
        <v>467</v>
      </c>
    </row>
    <row r="345" spans="8:10" x14ac:dyDescent="0.25">
      <c r="H345" s="198" t="s">
        <v>498</v>
      </c>
      <c r="I345" s="198" t="s">
        <v>445</v>
      </c>
      <c r="J345" s="198" t="s">
        <v>453</v>
      </c>
    </row>
    <row r="346" spans="8:10" x14ac:dyDescent="0.25">
      <c r="H346" s="198" t="s">
        <v>929</v>
      </c>
      <c r="I346" s="198" t="s">
        <v>439</v>
      </c>
      <c r="J346" s="198" t="s">
        <v>440</v>
      </c>
    </row>
    <row r="347" spans="8:10" x14ac:dyDescent="0.25">
      <c r="H347" s="198" t="s">
        <v>930</v>
      </c>
      <c r="I347" s="198" t="s">
        <v>439</v>
      </c>
      <c r="J347" s="198" t="s">
        <v>440</v>
      </c>
    </row>
    <row r="348" spans="8:10" x14ac:dyDescent="0.25">
      <c r="H348" s="198" t="s">
        <v>931</v>
      </c>
      <c r="I348" s="198" t="s">
        <v>462</v>
      </c>
      <c r="J348" s="198" t="s">
        <v>467</v>
      </c>
    </row>
    <row r="349" spans="8:10" x14ac:dyDescent="0.25">
      <c r="H349" s="198" t="s">
        <v>932</v>
      </c>
      <c r="I349" s="198" t="s">
        <v>439</v>
      </c>
      <c r="J349" s="198" t="s">
        <v>440</v>
      </c>
    </row>
    <row r="350" spans="8:10" x14ac:dyDescent="0.25">
      <c r="H350" s="198" t="s">
        <v>933</v>
      </c>
      <c r="I350" s="198" t="s">
        <v>439</v>
      </c>
      <c r="J350" s="198" t="s">
        <v>440</v>
      </c>
    </row>
    <row r="351" spans="8:10" x14ac:dyDescent="0.25">
      <c r="H351" s="198" t="s">
        <v>934</v>
      </c>
      <c r="I351" s="198" t="s">
        <v>439</v>
      </c>
      <c r="J351" s="198" t="s">
        <v>440</v>
      </c>
    </row>
    <row r="352" spans="8:10" x14ac:dyDescent="0.25">
      <c r="H352" s="198" t="s">
        <v>935</v>
      </c>
      <c r="I352" s="198" t="s">
        <v>439</v>
      </c>
      <c r="J352" s="198" t="s">
        <v>440</v>
      </c>
    </row>
    <row r="353" spans="8:10" x14ac:dyDescent="0.25">
      <c r="H353" s="198" t="s">
        <v>762</v>
      </c>
      <c r="I353" s="198" t="s">
        <v>442</v>
      </c>
      <c r="J353" s="198" t="s">
        <v>447</v>
      </c>
    </row>
    <row r="354" spans="8:10" x14ac:dyDescent="0.25">
      <c r="H354" s="198" t="s">
        <v>497</v>
      </c>
      <c r="I354" s="198" t="s">
        <v>442</v>
      </c>
      <c r="J354" s="198" t="s">
        <v>447</v>
      </c>
    </row>
    <row r="355" spans="8:10" x14ac:dyDescent="0.25">
      <c r="H355" s="198" t="s">
        <v>642</v>
      </c>
      <c r="I355" s="198" t="s">
        <v>442</v>
      </c>
      <c r="J355" s="198" t="s">
        <v>447</v>
      </c>
    </row>
    <row r="356" spans="8:10" x14ac:dyDescent="0.25">
      <c r="H356" s="198" t="s">
        <v>505</v>
      </c>
      <c r="I356" s="198" t="s">
        <v>445</v>
      </c>
      <c r="J356" s="198" t="s">
        <v>453</v>
      </c>
    </row>
    <row r="357" spans="8:10" x14ac:dyDescent="0.25">
      <c r="H357" s="198" t="s">
        <v>936</v>
      </c>
      <c r="I357" s="198" t="s">
        <v>445</v>
      </c>
      <c r="J357" s="198" t="s">
        <v>453</v>
      </c>
    </row>
    <row r="358" spans="8:10" x14ac:dyDescent="0.25">
      <c r="H358" s="198" t="s">
        <v>580</v>
      </c>
      <c r="I358" s="198" t="s">
        <v>439</v>
      </c>
      <c r="J358" s="198" t="s">
        <v>440</v>
      </c>
    </row>
    <row r="359" spans="8:10" x14ac:dyDescent="0.25">
      <c r="H359" s="198" t="s">
        <v>937</v>
      </c>
      <c r="I359" s="198" t="s">
        <v>445</v>
      </c>
      <c r="J359" s="198" t="s">
        <v>453</v>
      </c>
    </row>
    <row r="360" spans="8:10" x14ac:dyDescent="0.25">
      <c r="H360" s="198" t="s">
        <v>938</v>
      </c>
      <c r="I360" s="198" t="s">
        <v>439</v>
      </c>
      <c r="J360" s="198" t="s">
        <v>440</v>
      </c>
    </row>
    <row r="361" spans="8:10" x14ac:dyDescent="0.25">
      <c r="H361" s="198" t="s">
        <v>939</v>
      </c>
      <c r="I361" s="198" t="s">
        <v>439</v>
      </c>
      <c r="J361" s="198" t="s">
        <v>440</v>
      </c>
    </row>
    <row r="362" spans="8:10" x14ac:dyDescent="0.25">
      <c r="H362" s="198" t="s">
        <v>646</v>
      </c>
      <c r="I362" s="198" t="s">
        <v>442</v>
      </c>
      <c r="J362" s="198" t="s">
        <v>447</v>
      </c>
    </row>
  </sheetData>
  <sheetProtection sheet="1" objects="1" scenarios="1" selectLockedCells="1"/>
  <mergeCells count="3">
    <mergeCell ref="B4:C4"/>
    <mergeCell ref="B5:C5"/>
    <mergeCell ref="B7:C11"/>
  </mergeCells>
  <conditionalFormatting sqref="D4:F4">
    <cfRule type="expression" dxfId="43" priority="2">
      <formula>IF($M$1=TRUE,TRUE,FALSE)</formula>
    </cfRule>
    <cfRule type="expression" dxfId="42" priority="4">
      <formula>IF($M$2=TRUE,TRUE,FALSE)</formula>
    </cfRule>
  </conditionalFormatting>
  <conditionalFormatting sqref="D5:F5">
    <cfRule type="expression" dxfId="41" priority="1">
      <formula>IF($M$1=TRUE,TRUE,FALSE)</formula>
    </cfRule>
    <cfRule type="expression" dxfId="40" priority="3">
      <formula>IF($M$2=TRUE,TRUE,FALSE)</formula>
    </cfRule>
  </conditionalFormatting>
  <dataValidations count="1">
    <dataValidation type="list" allowBlank="1" showInputMessage="1" showErrorMessage="1" errorTitle="Introduce un nombre de municipio" error="El nombre del municipio tiene que estar en gallego. Si no encuentras el municipio en el listado, comprueba que hayas introducido el artículo correspondiente si es el caso (Ejemplo: O Porriño)" sqref="B3">
      <formula1>$H$4:$H$362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workbookViewId="0">
      <selection activeCell="C4" sqref="C4"/>
    </sheetView>
  </sheetViews>
  <sheetFormatPr baseColWidth="10" defaultRowHeight="18.75" customHeight="1" x14ac:dyDescent="0.25"/>
  <cols>
    <col min="1" max="1" width="3.5703125" style="167" customWidth="1"/>
    <col min="2" max="4" width="21.42578125" style="163" customWidth="1"/>
    <col min="5" max="5" width="3.5703125" style="167" customWidth="1"/>
    <col min="6" max="9" width="11.42578125" style="167"/>
    <col min="10" max="10" width="0" style="167" hidden="1" customWidth="1"/>
    <col min="11" max="11" width="0" style="163" hidden="1" customWidth="1"/>
    <col min="12" max="12" width="0" style="167" hidden="1" customWidth="1"/>
    <col min="13" max="13" width="18.85546875" style="167" hidden="1" customWidth="1"/>
    <col min="14" max="16" width="0" style="167" hidden="1" customWidth="1"/>
    <col min="17" max="16384" width="11.42578125" style="167"/>
  </cols>
  <sheetData>
    <row r="2" spans="2:16" ht="18.75" customHeight="1" x14ac:dyDescent="0.25">
      <c r="B2" s="311" t="s">
        <v>940</v>
      </c>
      <c r="C2" s="312"/>
      <c r="D2" s="312"/>
    </row>
    <row r="3" spans="2:16" ht="18.75" customHeight="1" x14ac:dyDescent="0.25">
      <c r="B3" s="216" t="s">
        <v>941</v>
      </c>
      <c r="C3" s="216" t="s">
        <v>942</v>
      </c>
      <c r="D3" s="216" t="s">
        <v>943</v>
      </c>
      <c r="J3" s="167" t="s">
        <v>421</v>
      </c>
      <c r="K3" s="163">
        <v>2</v>
      </c>
      <c r="M3" s="1" t="s">
        <v>423</v>
      </c>
      <c r="N3" s="2" t="s">
        <v>421</v>
      </c>
      <c r="O3" s="2" t="s">
        <v>944</v>
      </c>
      <c r="P3" s="2" t="s">
        <v>945</v>
      </c>
    </row>
    <row r="4" spans="2:16" ht="22.5" customHeight="1" x14ac:dyDescent="0.25">
      <c r="B4" s="66"/>
      <c r="C4" s="66"/>
      <c r="D4" s="217" t="str">
        <f>IF(ISERROR(VLOOKUP(K7,M4:P20,K8,0)),"",VLOOKUP(K7,M4:P20,K8,0))</f>
        <v/>
      </c>
      <c r="J4" s="167" t="s">
        <v>944</v>
      </c>
      <c r="K4" s="163">
        <v>3</v>
      </c>
      <c r="M4" s="218" t="s">
        <v>442</v>
      </c>
      <c r="N4" s="219">
        <v>3000</v>
      </c>
      <c r="O4" s="219">
        <v>1500</v>
      </c>
      <c r="P4" s="219">
        <v>500</v>
      </c>
    </row>
    <row r="5" spans="2:16" ht="18.75" customHeight="1" x14ac:dyDescent="0.25">
      <c r="J5" s="167" t="s">
        <v>945</v>
      </c>
      <c r="K5" s="163">
        <v>4</v>
      </c>
      <c r="M5" s="220" t="s">
        <v>607</v>
      </c>
      <c r="N5" s="221">
        <v>2000</v>
      </c>
      <c r="O5" s="221">
        <v>1000</v>
      </c>
      <c r="P5" s="221">
        <v>300</v>
      </c>
    </row>
    <row r="6" spans="2:16" ht="18.75" customHeight="1" x14ac:dyDescent="0.25">
      <c r="B6" s="248" t="s">
        <v>946</v>
      </c>
      <c r="C6" s="313"/>
      <c r="D6" s="313"/>
      <c r="M6" s="220" t="s">
        <v>696</v>
      </c>
      <c r="N6" s="221">
        <v>2000</v>
      </c>
      <c r="O6" s="221">
        <v>1000</v>
      </c>
      <c r="P6" s="221">
        <v>300</v>
      </c>
    </row>
    <row r="7" spans="2:16" ht="18.75" customHeight="1" x14ac:dyDescent="0.25">
      <c r="B7" s="222" t="s">
        <v>0</v>
      </c>
      <c r="C7" s="302" t="s">
        <v>947</v>
      </c>
      <c r="D7" s="303"/>
      <c r="J7" s="167" t="s">
        <v>948</v>
      </c>
      <c r="K7" s="163" t="str">
        <f>IF(ISERROR(VLOOKUP(C4,M4:P18,1,0)),"RESTO",VLOOKUP(C4,M4:P18,1,0))</f>
        <v>RESTO</v>
      </c>
      <c r="M7" s="220" t="s">
        <v>785</v>
      </c>
      <c r="N7" s="221">
        <v>2000</v>
      </c>
      <c r="O7" s="221">
        <v>1000</v>
      </c>
      <c r="P7" s="221">
        <v>300</v>
      </c>
    </row>
    <row r="8" spans="2:16" ht="18.75" customHeight="1" x14ac:dyDescent="0.25">
      <c r="B8" s="223">
        <f ca="1">TODAY()</f>
        <v>44839</v>
      </c>
      <c r="C8" s="283"/>
      <c r="D8" s="310"/>
      <c r="J8" s="167" t="s">
        <v>8</v>
      </c>
      <c r="K8" s="163" t="str">
        <f>IF(ISERROR(VLOOKUP(B4,J3:K5,2,0)),"",VLOOKUP(B4,J3:K5,2,0))</f>
        <v/>
      </c>
      <c r="M8" s="218" t="s">
        <v>649</v>
      </c>
      <c r="N8" s="219">
        <v>3000</v>
      </c>
      <c r="O8" s="219">
        <v>1500</v>
      </c>
      <c r="P8" s="219">
        <v>500</v>
      </c>
    </row>
    <row r="9" spans="2:16" ht="18.75" customHeight="1" x14ac:dyDescent="0.25">
      <c r="B9" s="222" t="s">
        <v>949</v>
      </c>
      <c r="C9" s="302" t="s">
        <v>950</v>
      </c>
      <c r="D9" s="303"/>
      <c r="M9" s="218" t="s">
        <v>445</v>
      </c>
      <c r="N9" s="219">
        <v>3000</v>
      </c>
      <c r="O9" s="219">
        <v>1500</v>
      </c>
      <c r="P9" s="219">
        <v>500</v>
      </c>
    </row>
    <row r="10" spans="2:16" ht="18.75" customHeight="1" x14ac:dyDescent="0.25">
      <c r="B10" s="224" t="str">
        <f ca="1">IF(OR(B8="",C8="",C10="",C8&gt;B8),"",IF(1-(TRUNC(YEARFRAC(B8,C8))/C10)&lt;0,0,1-(TRUNC(YEARFRAC(B8,C8))/C10)))</f>
        <v/>
      </c>
      <c r="C10" s="249"/>
      <c r="D10" s="310"/>
      <c r="M10" s="220" t="s">
        <v>816</v>
      </c>
      <c r="N10" s="221">
        <v>2000</v>
      </c>
      <c r="O10" s="221">
        <v>1000</v>
      </c>
      <c r="P10" s="221">
        <v>300</v>
      </c>
    </row>
    <row r="11" spans="2:16" ht="18.75" customHeight="1" x14ac:dyDescent="0.25">
      <c r="B11" s="222" t="s">
        <v>951</v>
      </c>
      <c r="C11" s="302" t="s">
        <v>952</v>
      </c>
      <c r="D11" s="303"/>
      <c r="M11" s="220" t="s">
        <v>666</v>
      </c>
      <c r="N11" s="221">
        <v>2000</v>
      </c>
      <c r="O11" s="221">
        <v>1000</v>
      </c>
      <c r="P11" s="221">
        <v>300</v>
      </c>
    </row>
    <row r="12" spans="2:16" ht="22.5" customHeight="1" x14ac:dyDescent="0.25">
      <c r="B12" s="225" t="str">
        <f>D4</f>
        <v/>
      </c>
      <c r="C12" s="304" t="str">
        <f ca="1">IF(ISERROR(B10*B12),"",B10*B12)</f>
        <v/>
      </c>
      <c r="D12" s="305"/>
      <c r="M12" s="220" t="s">
        <v>837</v>
      </c>
      <c r="N12" s="221">
        <v>2000</v>
      </c>
      <c r="O12" s="221">
        <v>1000</v>
      </c>
      <c r="P12" s="221">
        <v>300</v>
      </c>
    </row>
    <row r="13" spans="2:16" ht="18.75" customHeight="1" x14ac:dyDescent="0.25">
      <c r="M13" s="220" t="s">
        <v>854</v>
      </c>
      <c r="N13" s="221">
        <v>2000</v>
      </c>
      <c r="O13" s="221">
        <v>1000</v>
      </c>
      <c r="P13" s="221">
        <v>300</v>
      </c>
    </row>
    <row r="14" spans="2:16" ht="18.75" customHeight="1" x14ac:dyDescent="0.25">
      <c r="B14" s="279" t="s">
        <v>122</v>
      </c>
      <c r="C14" s="306"/>
      <c r="D14" s="306"/>
      <c r="M14" s="218" t="s">
        <v>439</v>
      </c>
      <c r="N14" s="219">
        <v>3000</v>
      </c>
      <c r="O14" s="219">
        <v>1500</v>
      </c>
      <c r="P14" s="219">
        <v>500</v>
      </c>
    </row>
    <row r="15" spans="2:16" ht="18.75" customHeight="1" x14ac:dyDescent="0.25">
      <c r="B15" s="293" t="s">
        <v>953</v>
      </c>
      <c r="C15" s="307"/>
      <c r="D15" s="307"/>
      <c r="M15" s="218" t="s">
        <v>462</v>
      </c>
      <c r="N15" s="219">
        <v>3000</v>
      </c>
      <c r="O15" s="219">
        <v>1500</v>
      </c>
      <c r="P15" s="219">
        <v>500</v>
      </c>
    </row>
    <row r="16" spans="2:16" ht="18.75" customHeight="1" x14ac:dyDescent="0.25">
      <c r="B16" s="293" t="s">
        <v>954</v>
      </c>
      <c r="C16" s="307"/>
      <c r="D16" s="307"/>
      <c r="M16" s="220" t="s">
        <v>714</v>
      </c>
      <c r="N16" s="221">
        <v>2000</v>
      </c>
      <c r="O16" s="221">
        <v>1000</v>
      </c>
      <c r="P16" s="221">
        <v>300</v>
      </c>
    </row>
    <row r="17" spans="2:16" ht="18.75" customHeight="1" x14ac:dyDescent="0.25">
      <c r="B17" s="308" t="s">
        <v>955</v>
      </c>
      <c r="C17" s="307"/>
      <c r="D17" s="307"/>
      <c r="M17" s="218" t="s">
        <v>956</v>
      </c>
      <c r="N17" s="219">
        <v>3000</v>
      </c>
      <c r="O17" s="219">
        <v>1500</v>
      </c>
      <c r="P17" s="219">
        <v>500</v>
      </c>
    </row>
    <row r="18" spans="2:16" ht="18.75" customHeight="1" x14ac:dyDescent="0.25">
      <c r="B18" s="309" t="s">
        <v>957</v>
      </c>
      <c r="C18" s="301"/>
      <c r="D18" s="301"/>
      <c r="M18" s="218" t="s">
        <v>926</v>
      </c>
      <c r="N18" s="219">
        <v>3000</v>
      </c>
      <c r="O18" s="219">
        <v>1500</v>
      </c>
      <c r="P18" s="219">
        <v>500</v>
      </c>
    </row>
    <row r="19" spans="2:16" ht="18.75" customHeight="1" x14ac:dyDescent="0.25">
      <c r="B19" s="309" t="s">
        <v>958</v>
      </c>
      <c r="C19" s="301"/>
      <c r="D19" s="301"/>
      <c r="M19" s="220" t="s">
        <v>959</v>
      </c>
      <c r="N19" s="221">
        <v>2000</v>
      </c>
      <c r="O19" s="221">
        <v>1000</v>
      </c>
      <c r="P19" s="221">
        <v>300</v>
      </c>
    </row>
    <row r="20" spans="2:16" ht="18.75" customHeight="1" x14ac:dyDescent="0.25">
      <c r="B20" s="309" t="s">
        <v>960</v>
      </c>
      <c r="C20" s="301"/>
      <c r="D20" s="301"/>
      <c r="M20" s="226" t="s">
        <v>961</v>
      </c>
      <c r="N20" s="227">
        <v>1000</v>
      </c>
      <c r="O20" s="227">
        <v>500</v>
      </c>
      <c r="P20" s="227">
        <v>200</v>
      </c>
    </row>
    <row r="21" spans="2:16" ht="18.75" customHeight="1" x14ac:dyDescent="0.25">
      <c r="B21" s="309" t="s">
        <v>962</v>
      </c>
      <c r="C21" s="301"/>
      <c r="D21" s="301"/>
    </row>
    <row r="22" spans="2:16" ht="18.75" customHeight="1" x14ac:dyDescent="0.25">
      <c r="B22" s="300" t="s">
        <v>963</v>
      </c>
      <c r="C22" s="301"/>
      <c r="D22" s="301"/>
    </row>
    <row r="23" spans="2:16" ht="18.75" customHeight="1" x14ac:dyDescent="0.25">
      <c r="B23" s="300" t="s">
        <v>964</v>
      </c>
      <c r="C23" s="301"/>
      <c r="D23" s="301"/>
    </row>
    <row r="25" spans="2:16" ht="18.75" customHeight="1" x14ac:dyDescent="0.25">
      <c r="M25" s="1" t="s">
        <v>965</v>
      </c>
      <c r="N25" s="2">
        <v>1000</v>
      </c>
      <c r="O25" s="2">
        <v>500</v>
      </c>
      <c r="P25" s="2">
        <v>200</v>
      </c>
    </row>
    <row r="26" spans="2:16" ht="18.75" customHeight="1" x14ac:dyDescent="0.25">
      <c r="M26" s="1" t="s">
        <v>966</v>
      </c>
      <c r="N26" s="2">
        <v>1000</v>
      </c>
      <c r="O26" s="2">
        <v>500</v>
      </c>
      <c r="P26" s="2">
        <v>200</v>
      </c>
    </row>
    <row r="27" spans="2:16" ht="18.75" customHeight="1" x14ac:dyDescent="0.25">
      <c r="M27" s="1" t="s">
        <v>967</v>
      </c>
      <c r="N27" s="2">
        <v>1000</v>
      </c>
      <c r="O27" s="2">
        <v>500</v>
      </c>
      <c r="P27" s="2">
        <v>200</v>
      </c>
    </row>
    <row r="28" spans="2:16" ht="18.75" customHeight="1" x14ac:dyDescent="0.25">
      <c r="M28" s="1" t="s">
        <v>968</v>
      </c>
      <c r="N28" s="2">
        <v>1000</v>
      </c>
      <c r="O28" s="2">
        <v>500</v>
      </c>
      <c r="P28" s="2">
        <v>200</v>
      </c>
    </row>
  </sheetData>
  <sheetProtection sheet="1" objects="1" scenarios="1" selectLockedCells="1"/>
  <autoFilter ref="M3:P20">
    <sortState ref="M4:P20">
      <sortCondition ref="M3:M20"/>
    </sortState>
  </autoFilter>
  <mergeCells count="18">
    <mergeCell ref="C10:D10"/>
    <mergeCell ref="B2:D2"/>
    <mergeCell ref="B6:D6"/>
    <mergeCell ref="C7:D7"/>
    <mergeCell ref="C8:D8"/>
    <mergeCell ref="C9:D9"/>
    <mergeCell ref="B23:D23"/>
    <mergeCell ref="C11:D11"/>
    <mergeCell ref="C12:D12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</mergeCells>
  <dataValidations count="2">
    <dataValidation type="list" allowBlank="1" showInputMessage="1" showErrorMessage="1" sqref="B4">
      <formula1>$J$3:$J$5</formula1>
    </dataValidation>
    <dataValidation type="list" allowBlank="1" showInputMessage="1" showErrorMessage="1" sqref="C4">
      <formula1>$M$4:$M$20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9"/>
  <sheetViews>
    <sheetView workbookViewId="0">
      <selection activeCell="B9" sqref="B9:D10"/>
    </sheetView>
  </sheetViews>
  <sheetFormatPr baseColWidth="10" defaultRowHeight="18.75" customHeight="1" x14ac:dyDescent="0.25"/>
  <cols>
    <col min="1" max="1" width="3.5703125" style="135" customWidth="1"/>
    <col min="2" max="2" width="42.85546875" style="135" customWidth="1"/>
    <col min="3" max="3" width="17.140625" style="135" customWidth="1"/>
    <col min="4" max="4" width="24.28515625" style="135" customWidth="1"/>
    <col min="5" max="5" width="22.42578125" style="135" hidden="1" customWidth="1"/>
    <col min="6" max="6" width="3.5703125" style="135" customWidth="1"/>
    <col min="7" max="7" width="51.85546875" style="135" customWidth="1"/>
    <col min="8" max="8" width="11.42578125" style="135"/>
    <col min="9" max="9" width="21.140625" style="135" customWidth="1"/>
    <col min="10" max="10" width="3.5703125" style="135" customWidth="1"/>
    <col min="11" max="11" width="27.7109375" style="135" hidden="1" customWidth="1"/>
    <col min="12" max="13" width="11.42578125" style="135" hidden="1" customWidth="1"/>
    <col min="14" max="14" width="21.28515625" style="135" hidden="1" customWidth="1"/>
    <col min="15" max="15" width="16.5703125" style="135" hidden="1" customWidth="1"/>
    <col min="16" max="16" width="18.7109375" style="135" hidden="1" customWidth="1"/>
    <col min="17" max="25" width="21.42578125" style="135" hidden="1" customWidth="1"/>
    <col min="26" max="26" width="16.42578125" style="135" hidden="1" customWidth="1"/>
    <col min="27" max="35" width="21.42578125" style="135" hidden="1" customWidth="1"/>
    <col min="36" max="37" width="11.42578125" style="135" customWidth="1"/>
    <col min="38" max="16384" width="11.42578125" style="135"/>
  </cols>
  <sheetData>
    <row r="1" spans="2:35" ht="18.75" customHeight="1" x14ac:dyDescent="0.25">
      <c r="E1" s="136" t="s">
        <v>146</v>
      </c>
    </row>
    <row r="2" spans="2:35" ht="18.75" customHeight="1" x14ac:dyDescent="0.25">
      <c r="B2" s="136" t="s">
        <v>145</v>
      </c>
      <c r="E2" s="137">
        <f>IF(ISBLANK(B3),"",IF(DATE(YEAR(B3),MONTH(B3),DAY(B3))&gt;DATE(YEAR(Q3),MONTH(Q3),DAY(Q3)),2,IF(DATE(YEAR(B3),MONTH(B3),DAY(B3))&gt;DATE(YEAR(R3),MONTH(R3),DAY(R3)),3,IF(DATE(YEAR(B3),MONTH(B3),DAY(B3))&gt;DATE(YEAR(S3),MONTH(S3),DAY(S3)),4,IF(DATE(YEAR(B3),MONTH(B3),DAY(B3))&gt;DATE(YEAR(T3),MONTH(T3),DAY(T3)),5,IF(DATE(YEAR(B3),MONTH(B3),DAY(B3))&gt;DATE(YEAR(U3),MONTH(U3),DAY(U3)),6,IF(DATE(YEAR(B3),MONTH(B3),DAY(B3))&gt;DATE(YEAR(V3),MONTH(V3),DAY(V3)),7,IF(DATE(YEAR(B3),MONTH(B3),DAY(B3))&gt;DATE(YEAR(W3),MONTH(W3),DAY(W3)),8,IF(DATE(YEAR(B3),MONTH(B3),DAY(B3))&gt;DATE(YEAR(X3),MONTH(X3),DAY(X3)),9,IF(DATE(YEAR(B3),MONTH(B3),DAY(B3))&gt;DATE(YEAR(Y3),MONTH(Y3),DAY(Y3)),10,IF(DATE(YEAR(B3),MONTH(B3),DAY(B3))&gt;DATE(YEAR(Z3),MONTH(Z3),DAY(Z3)),11,IF(DATE(YEAR(B3),MONTH(B3),DAY(B3))&gt;DATE(YEAR(AA3),MONTH(AA3),DAY(AA3)),12,IF(DATE(YEAR(B3),MONTH(B3),DAY(B3))&gt;DATE(YEAR(AB3),MONTH(AB3),DAY(AB3)),13,IF(DATE(YEAR(B3),MONTH(B3),DAY(B3))&gt;DATE(YEAR(AC3),MONTH(AC3),DAY(AC3)),14,IF(DATE(YEAR(B3),MONTH(B3),DAY(B3))&gt;DATE(YEAR(AD3),MONTH(AD3),DAY(AD3)),15,IF(DATE(YEAR(B3),MONTH(B3),DAY(B3))&gt;DATE(YEAR(AE3),MONTH(AE3),DAY(AE3)),16,IF(DATE(YEAR(B3),MONTH(B3),DAY(B3))&gt;DATE(YEAR(AF3),MONTH(AF3),DAY(AF3)),17,IF(DATE(YEAR(B3),MONTH(B3),DAY(B3))&gt;DATE(YEAR(AG3),MONTH(AG3),DAY(AG3)),18,IF(DATE(YEAR(B3),MONTH(B3),DAY(B3))&gt;DATE(YEAR(AH3),MONTH(AH3),DAY(AH3)),19,IF(DATE(YEAR(B3),MONTH(B3),DAY(B3))&gt;DATE(YEAR(AI3),MONTH(AI3),DAY(AI3)),20))))))))))))))))))))</f>
        <v>2</v>
      </c>
      <c r="F2" s="138"/>
      <c r="G2" s="323" t="s">
        <v>122</v>
      </c>
      <c r="H2" s="306"/>
      <c r="I2" s="306"/>
      <c r="Q2" s="135">
        <v>2</v>
      </c>
      <c r="R2" s="135">
        <v>3</v>
      </c>
      <c r="S2" s="135">
        <v>4</v>
      </c>
      <c r="T2" s="135">
        <v>5</v>
      </c>
      <c r="U2" s="135">
        <v>6</v>
      </c>
      <c r="V2" s="135">
        <v>7</v>
      </c>
      <c r="W2" s="135">
        <v>8</v>
      </c>
      <c r="X2" s="135">
        <v>9</v>
      </c>
      <c r="Y2" s="135">
        <v>10</v>
      </c>
      <c r="Z2" s="135">
        <v>11</v>
      </c>
      <c r="AA2" s="135">
        <v>12</v>
      </c>
      <c r="AB2" s="135">
        <v>13</v>
      </c>
      <c r="AC2" s="135">
        <v>14</v>
      </c>
      <c r="AD2" s="135">
        <v>15</v>
      </c>
      <c r="AE2" s="135">
        <v>16</v>
      </c>
      <c r="AF2" s="135">
        <v>17</v>
      </c>
      <c r="AG2" s="135">
        <v>18</v>
      </c>
      <c r="AH2" s="135">
        <v>19</v>
      </c>
      <c r="AI2" s="135">
        <v>20</v>
      </c>
    </row>
    <row r="3" spans="2:35" ht="37.5" customHeight="1" x14ac:dyDescent="0.25">
      <c r="B3" s="159">
        <f>'MODELO 650'!C3</f>
        <v>44360</v>
      </c>
      <c r="C3" s="139"/>
      <c r="E3" s="135">
        <f>IF(ISBLANK(B3),"",IF(E2=2,2,IF(DATE(YEAR(B3),MONTH(B3),DAY(B3))=DATE(YEAR(VLOOKUP(P3,P3:AF3,E2-1,0)),MONTH(VLOOKUP(P3,P3:AF3,E2-1,0)),DAY(VLOOKUP(P3,P3:AF3,E2-1,0))),E2-1,E2)))</f>
        <v>2</v>
      </c>
      <c r="G3" s="324" t="s">
        <v>274</v>
      </c>
      <c r="H3" s="324"/>
      <c r="I3" s="325"/>
      <c r="P3" s="140" t="s">
        <v>275</v>
      </c>
      <c r="Q3" s="141" t="s">
        <v>276</v>
      </c>
      <c r="R3" s="141" t="s">
        <v>277</v>
      </c>
      <c r="S3" s="141" t="s">
        <v>278</v>
      </c>
      <c r="T3" s="141" t="s">
        <v>279</v>
      </c>
      <c r="U3" s="141" t="s">
        <v>280</v>
      </c>
      <c r="V3" s="141" t="s">
        <v>281</v>
      </c>
      <c r="W3" s="141" t="s">
        <v>282</v>
      </c>
      <c r="X3" s="141" t="s">
        <v>283</v>
      </c>
      <c r="Y3" s="141" t="s">
        <v>284</v>
      </c>
      <c r="Z3" s="141" t="s">
        <v>285</v>
      </c>
      <c r="AA3" s="141" t="s">
        <v>286</v>
      </c>
      <c r="AB3" s="141" t="s">
        <v>287</v>
      </c>
      <c r="AC3" s="141" t="s">
        <v>288</v>
      </c>
      <c r="AD3" s="141" t="s">
        <v>289</v>
      </c>
      <c r="AE3" s="141" t="s">
        <v>290</v>
      </c>
      <c r="AF3" s="142" t="s">
        <v>291</v>
      </c>
      <c r="AG3" s="140"/>
      <c r="AH3" s="140"/>
      <c r="AI3" s="140"/>
    </row>
    <row r="4" spans="2:35" ht="18.75" customHeight="1" x14ac:dyDescent="0.25">
      <c r="B4" s="136" t="s">
        <v>39</v>
      </c>
      <c r="C4" s="136" t="s">
        <v>292</v>
      </c>
      <c r="D4" s="136" t="s">
        <v>161</v>
      </c>
      <c r="E4" s="136" t="s">
        <v>162</v>
      </c>
      <c r="F4" s="138"/>
      <c r="G4" s="325"/>
      <c r="H4" s="325"/>
      <c r="I4" s="325"/>
      <c r="K4" s="143" t="s">
        <v>36</v>
      </c>
      <c r="L4" s="143" t="s">
        <v>37</v>
      </c>
      <c r="M4" s="143" t="s">
        <v>293</v>
      </c>
      <c r="N4" s="143"/>
      <c r="P4" s="140" t="s">
        <v>37</v>
      </c>
      <c r="Q4" s="144" t="s">
        <v>294</v>
      </c>
      <c r="R4" s="144" t="s">
        <v>295</v>
      </c>
      <c r="S4" s="144" t="s">
        <v>296</v>
      </c>
      <c r="T4" s="144" t="s">
        <v>297</v>
      </c>
      <c r="U4" s="144" t="s">
        <v>298</v>
      </c>
      <c r="V4" s="144" t="s">
        <v>299</v>
      </c>
      <c r="W4" s="144" t="s">
        <v>300</v>
      </c>
      <c r="X4" s="144" t="s">
        <v>301</v>
      </c>
      <c r="Y4" s="144" t="s">
        <v>302</v>
      </c>
      <c r="Z4" s="144" t="s">
        <v>303</v>
      </c>
      <c r="AA4" s="144" t="s">
        <v>304</v>
      </c>
      <c r="AB4" s="144" t="s">
        <v>305</v>
      </c>
      <c r="AC4" s="144" t="s">
        <v>306</v>
      </c>
      <c r="AD4" s="144" t="s">
        <v>307</v>
      </c>
      <c r="AE4" s="144" t="s">
        <v>308</v>
      </c>
      <c r="AF4" s="144" t="s">
        <v>309</v>
      </c>
      <c r="AG4" s="140"/>
      <c r="AH4" s="140"/>
      <c r="AI4" s="140"/>
    </row>
    <row r="5" spans="2:35" ht="37.5" customHeight="1" x14ac:dyDescent="0.25">
      <c r="B5" s="158" t="str">
        <f>VLOOKUP('MODELO 650'!M2,'MODELO 650'!C12:D21,2,0)</f>
        <v>Cónyuge</v>
      </c>
      <c r="C5" s="160" t="s">
        <v>158</v>
      </c>
      <c r="D5" s="145" t="str">
        <f>IF(B5="","",VLOOKUP(B5,K5:L26,2,0))</f>
        <v>GRUPO II</v>
      </c>
      <c r="E5" s="145" t="str">
        <f>IF(B5="","",VLOOKUP(B5,K5:M26,3,0))</f>
        <v>GRUPO II-2</v>
      </c>
      <c r="F5" s="146"/>
      <c r="G5" s="325"/>
      <c r="H5" s="325"/>
      <c r="I5" s="325"/>
      <c r="K5" s="143" t="s">
        <v>43</v>
      </c>
      <c r="L5" s="143" t="s">
        <v>44</v>
      </c>
      <c r="M5" s="135" t="s">
        <v>311</v>
      </c>
      <c r="P5" s="140" t="s">
        <v>311</v>
      </c>
      <c r="Q5" s="140" t="s">
        <v>312</v>
      </c>
      <c r="R5" s="140" t="s">
        <v>312</v>
      </c>
      <c r="S5" s="140" t="s">
        <v>312</v>
      </c>
      <c r="T5" s="140" t="s">
        <v>312</v>
      </c>
      <c r="U5" s="140" t="s">
        <v>313</v>
      </c>
      <c r="V5" s="140" t="s">
        <v>314</v>
      </c>
      <c r="W5" s="140" t="s">
        <v>315</v>
      </c>
      <c r="X5" s="140" t="s">
        <v>316</v>
      </c>
      <c r="Y5" s="140" t="s">
        <v>316</v>
      </c>
      <c r="Z5" s="140" t="s">
        <v>317</v>
      </c>
      <c r="AA5" s="140" t="s">
        <v>318</v>
      </c>
      <c r="AB5" s="140" t="s">
        <v>319</v>
      </c>
      <c r="AC5" s="140" t="s">
        <v>320</v>
      </c>
      <c r="AD5" s="140" t="s">
        <v>321</v>
      </c>
      <c r="AE5" s="140" t="s">
        <v>322</v>
      </c>
      <c r="AF5" s="142" t="s">
        <v>323</v>
      </c>
      <c r="AG5" s="140" t="s">
        <v>324</v>
      </c>
      <c r="AH5" s="140" t="s">
        <v>324</v>
      </c>
      <c r="AI5" s="140" t="s">
        <v>324</v>
      </c>
    </row>
    <row r="6" spans="2:35" ht="18.75" customHeight="1" x14ac:dyDescent="0.25">
      <c r="G6" s="87"/>
      <c r="H6" s="87"/>
      <c r="I6" s="87"/>
      <c r="K6" s="147" t="s">
        <v>325</v>
      </c>
      <c r="L6" s="147" t="s">
        <v>48</v>
      </c>
      <c r="M6" s="147" t="s">
        <v>326</v>
      </c>
      <c r="N6" s="147"/>
      <c r="P6" s="140" t="s">
        <v>327</v>
      </c>
      <c r="Q6" s="140" t="s">
        <v>312</v>
      </c>
      <c r="R6" s="140" t="s">
        <v>312</v>
      </c>
      <c r="S6" s="140" t="s">
        <v>312</v>
      </c>
      <c r="T6" s="140" t="s">
        <v>312</v>
      </c>
      <c r="U6" s="148">
        <v>1000000</v>
      </c>
      <c r="V6" s="149">
        <v>15956.87</v>
      </c>
      <c r="W6" s="149">
        <v>15638.33</v>
      </c>
      <c r="X6" s="149">
        <v>15361.87</v>
      </c>
      <c r="Y6" s="149">
        <v>15361.87</v>
      </c>
      <c r="Z6" s="149">
        <v>14845</v>
      </c>
      <c r="AA6" s="149">
        <v>14340.15</v>
      </c>
      <c r="AB6" s="149">
        <v>13651.99</v>
      </c>
      <c r="AC6" s="149">
        <v>12999.89</v>
      </c>
      <c r="AD6" s="149">
        <v>12380.85</v>
      </c>
      <c r="AE6" s="149">
        <v>12020.24</v>
      </c>
      <c r="AF6" s="142" t="s">
        <v>323</v>
      </c>
      <c r="AG6" s="140" t="s">
        <v>324</v>
      </c>
      <c r="AH6" s="140" t="s">
        <v>324</v>
      </c>
      <c r="AI6" s="140" t="s">
        <v>324</v>
      </c>
    </row>
    <row r="7" spans="2:35" ht="18.75" customHeight="1" x14ac:dyDescent="0.25">
      <c r="E7" s="87"/>
      <c r="F7" s="87"/>
      <c r="G7" s="87"/>
      <c r="K7" s="156" t="s">
        <v>47</v>
      </c>
      <c r="L7" s="143" t="s">
        <v>48</v>
      </c>
      <c r="M7" s="140" t="s">
        <v>328</v>
      </c>
      <c r="N7" s="140"/>
      <c r="P7" s="140" t="s">
        <v>326</v>
      </c>
      <c r="Q7" s="148">
        <v>1000000</v>
      </c>
      <c r="R7" s="140" t="s">
        <v>329</v>
      </c>
      <c r="S7" s="140" t="s">
        <v>329</v>
      </c>
      <c r="T7" s="140" t="s">
        <v>329</v>
      </c>
      <c r="U7" s="149">
        <v>15956.87</v>
      </c>
      <c r="V7" s="149">
        <v>15956.87</v>
      </c>
      <c r="W7" s="149">
        <v>15638.33</v>
      </c>
      <c r="X7" s="149">
        <v>15361.87</v>
      </c>
      <c r="Y7" s="149">
        <v>15361.87</v>
      </c>
      <c r="Z7" s="149">
        <v>14845</v>
      </c>
      <c r="AA7" s="149">
        <v>14340.15</v>
      </c>
      <c r="AB7" s="149">
        <v>13651.99</v>
      </c>
      <c r="AC7" s="149">
        <v>12999.89</v>
      </c>
      <c r="AD7" s="149">
        <v>12380.85</v>
      </c>
      <c r="AE7" s="149">
        <v>12020.24</v>
      </c>
      <c r="AF7" s="142" t="s">
        <v>323</v>
      </c>
      <c r="AG7" s="140" t="s">
        <v>324</v>
      </c>
      <c r="AH7" s="140" t="s">
        <v>324</v>
      </c>
      <c r="AI7" s="140" t="s">
        <v>324</v>
      </c>
    </row>
    <row r="8" spans="2:35" ht="37.5" customHeight="1" thickBot="1" x14ac:dyDescent="0.3">
      <c r="B8" s="326" t="s">
        <v>330</v>
      </c>
      <c r="C8" s="318"/>
      <c r="D8" s="318"/>
      <c r="E8" s="87"/>
      <c r="F8" s="87"/>
      <c r="G8" s="87"/>
      <c r="K8" s="156" t="s">
        <v>45</v>
      </c>
      <c r="L8" s="143" t="s">
        <v>48</v>
      </c>
      <c r="M8" s="140" t="s">
        <v>328</v>
      </c>
      <c r="N8" s="140"/>
      <c r="P8" s="140" t="s">
        <v>328</v>
      </c>
      <c r="Q8" s="153">
        <v>1000000</v>
      </c>
      <c r="R8" s="153">
        <v>400000</v>
      </c>
      <c r="S8" s="153">
        <v>400000</v>
      </c>
      <c r="T8" s="154">
        <v>18000</v>
      </c>
      <c r="U8" s="155">
        <v>15956.87</v>
      </c>
      <c r="V8" s="155">
        <v>15956.87</v>
      </c>
      <c r="W8" s="155">
        <v>15638.33</v>
      </c>
      <c r="X8" s="155">
        <v>15361.87</v>
      </c>
      <c r="Y8" s="155">
        <v>15361.87</v>
      </c>
      <c r="Z8" s="155">
        <v>14845</v>
      </c>
      <c r="AA8" s="155">
        <v>14340.15</v>
      </c>
      <c r="AB8" s="155">
        <v>13651.99</v>
      </c>
      <c r="AC8" s="155">
        <v>12999.89</v>
      </c>
      <c r="AD8" s="155">
        <v>12380.85</v>
      </c>
      <c r="AE8" s="155">
        <v>12020.24</v>
      </c>
      <c r="AF8" s="142" t="s">
        <v>323</v>
      </c>
      <c r="AG8" s="140" t="s">
        <v>324</v>
      </c>
      <c r="AH8" s="140" t="s">
        <v>324</v>
      </c>
      <c r="AI8" s="140" t="s">
        <v>324</v>
      </c>
    </row>
    <row r="9" spans="2:35" ht="18.75" customHeight="1" x14ac:dyDescent="0.25">
      <c r="B9" s="327">
        <f>IF(B5="","",IF(ISBLANK(B3),"Introduce Fecha Devengo",VLOOKUP(E5,P5:AI13,E3,0)))</f>
        <v>1000000</v>
      </c>
      <c r="C9" s="328"/>
      <c r="D9" s="329"/>
      <c r="G9" s="151"/>
      <c r="H9" s="151"/>
      <c r="I9" s="87"/>
      <c r="J9" s="87"/>
      <c r="K9" s="156" t="s">
        <v>51</v>
      </c>
      <c r="L9" s="143" t="s">
        <v>48</v>
      </c>
      <c r="M9" s="140" t="s">
        <v>328</v>
      </c>
      <c r="N9" s="140"/>
      <c r="P9" s="140" t="s">
        <v>331</v>
      </c>
      <c r="Q9" s="154">
        <v>16000</v>
      </c>
      <c r="R9" s="154">
        <v>16000</v>
      </c>
      <c r="S9" s="154">
        <v>8000</v>
      </c>
      <c r="T9" s="154">
        <v>8000</v>
      </c>
      <c r="U9" s="155">
        <v>7993.46</v>
      </c>
      <c r="V9" s="155">
        <v>7993.46</v>
      </c>
      <c r="W9" s="155">
        <v>7831.19</v>
      </c>
      <c r="X9" s="155">
        <v>7692.95</v>
      </c>
      <c r="Y9" s="155">
        <v>7692.95</v>
      </c>
      <c r="Z9" s="155">
        <v>7422.5</v>
      </c>
      <c r="AA9" s="155">
        <v>7170.07</v>
      </c>
      <c r="AB9" s="155">
        <v>6827.5</v>
      </c>
      <c r="AC9" s="155">
        <v>6499.95</v>
      </c>
      <c r="AD9" s="155">
        <v>6190.42</v>
      </c>
      <c r="AE9" s="155">
        <v>6010.12</v>
      </c>
      <c r="AF9" s="142" t="s">
        <v>323</v>
      </c>
      <c r="AG9" s="140" t="s">
        <v>324</v>
      </c>
      <c r="AH9" s="140" t="s">
        <v>324</v>
      </c>
      <c r="AI9" s="140" t="s">
        <v>324</v>
      </c>
    </row>
    <row r="10" spans="2:35" ht="18.75" customHeight="1" thickBot="1" x14ac:dyDescent="0.3">
      <c r="B10" s="330"/>
      <c r="C10" s="331"/>
      <c r="D10" s="332"/>
      <c r="G10" s="87"/>
      <c r="H10" s="87"/>
      <c r="I10" s="87"/>
      <c r="J10" s="87"/>
      <c r="K10" s="156" t="s">
        <v>53</v>
      </c>
      <c r="L10" s="143" t="s">
        <v>48</v>
      </c>
      <c r="M10" s="140" t="s">
        <v>328</v>
      </c>
      <c r="N10" s="140"/>
      <c r="P10" s="140" t="s">
        <v>332</v>
      </c>
      <c r="Q10" s="154">
        <v>8000</v>
      </c>
      <c r="R10" s="154">
        <v>8000</v>
      </c>
      <c r="S10" s="154">
        <v>8000</v>
      </c>
      <c r="T10" s="154">
        <v>8000</v>
      </c>
      <c r="U10" s="155">
        <v>7993.46</v>
      </c>
      <c r="V10" s="155">
        <v>7993.46</v>
      </c>
      <c r="W10" s="155">
        <v>7831.19</v>
      </c>
      <c r="X10" s="155">
        <v>7692.95</v>
      </c>
      <c r="Y10" s="155">
        <v>7692.95</v>
      </c>
      <c r="Z10" s="155">
        <v>7422.5</v>
      </c>
      <c r="AA10" s="155">
        <v>7170.07</v>
      </c>
      <c r="AB10" s="155">
        <v>6827.5</v>
      </c>
      <c r="AC10" s="155">
        <v>6499.95</v>
      </c>
      <c r="AD10" s="155">
        <v>6190.42</v>
      </c>
      <c r="AE10" s="155">
        <v>6010.12</v>
      </c>
      <c r="AF10" s="142" t="s">
        <v>323</v>
      </c>
      <c r="AG10" s="140" t="s">
        <v>324</v>
      </c>
      <c r="AH10" s="140" t="s">
        <v>324</v>
      </c>
      <c r="AI10" s="140" t="s">
        <v>324</v>
      </c>
    </row>
    <row r="11" spans="2:35" ht="18.75" customHeight="1" x14ac:dyDescent="0.25">
      <c r="K11" s="156" t="s">
        <v>55</v>
      </c>
      <c r="L11" s="143" t="s">
        <v>48</v>
      </c>
      <c r="M11" s="140" t="s">
        <v>328</v>
      </c>
      <c r="N11" s="140"/>
      <c r="P11" s="140" t="s">
        <v>333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42" t="s">
        <v>323</v>
      </c>
      <c r="AG11" s="140" t="s">
        <v>334</v>
      </c>
      <c r="AH11" s="140" t="s">
        <v>334</v>
      </c>
      <c r="AI11" s="140" t="s">
        <v>334</v>
      </c>
    </row>
    <row r="12" spans="2:35" ht="37.5" customHeight="1" thickBot="1" x14ac:dyDescent="0.3">
      <c r="B12" s="326" t="s">
        <v>335</v>
      </c>
      <c r="C12" s="318"/>
      <c r="D12" s="318"/>
      <c r="G12" s="151"/>
      <c r="H12" s="151"/>
      <c r="I12" s="87"/>
      <c r="J12" s="87"/>
      <c r="K12" s="156" t="s">
        <v>57</v>
      </c>
      <c r="L12" s="143" t="s">
        <v>48</v>
      </c>
      <c r="M12" s="140" t="s">
        <v>328</v>
      </c>
      <c r="N12" s="140"/>
      <c r="P12" s="140" t="s">
        <v>336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v>0</v>
      </c>
      <c r="X12" s="154">
        <v>0</v>
      </c>
      <c r="Y12" s="154">
        <v>0</v>
      </c>
      <c r="Z12" s="154">
        <v>0</v>
      </c>
      <c r="AA12" s="154">
        <v>0</v>
      </c>
      <c r="AB12" s="154">
        <v>0</v>
      </c>
      <c r="AC12" s="154">
        <v>0</v>
      </c>
      <c r="AD12" s="154">
        <v>0</v>
      </c>
      <c r="AE12" s="154">
        <v>0</v>
      </c>
      <c r="AF12" s="142" t="s">
        <v>323</v>
      </c>
      <c r="AG12" s="140" t="s">
        <v>334</v>
      </c>
      <c r="AH12" s="140" t="s">
        <v>334</v>
      </c>
      <c r="AI12" s="140" t="s">
        <v>334</v>
      </c>
    </row>
    <row r="13" spans="2:35" ht="18.75" customHeight="1" x14ac:dyDescent="0.25">
      <c r="B13" s="314" t="str">
        <f>IF(B5="","",IF(ISBLANK(B3),"Introduce Fecha Devengo",VLOOKUP("MINUSVALIA",P5:AI13,E3,0)))</f>
        <v xml:space="preserve">a) 33%..65% ------------------------------------------------------------&gt; 150.000 €                      
b) 65% o más y GRUPO I /II y patrimonio preex. &lt; 3.000.000 € --&gt; 100%                   
c) 65% o más y NO se cumplan las otras condiciones de b) -&gt; 300.000 € </v>
      </c>
      <c r="C13" s="315"/>
      <c r="D13" s="316"/>
      <c r="G13" s="87"/>
      <c r="H13" s="87"/>
      <c r="I13" s="87"/>
      <c r="J13" s="87"/>
      <c r="K13" s="156" t="s">
        <v>60</v>
      </c>
      <c r="L13" s="143" t="s">
        <v>48</v>
      </c>
      <c r="M13" s="140" t="s">
        <v>328</v>
      </c>
      <c r="N13" s="140"/>
      <c r="P13" s="135" t="s">
        <v>337</v>
      </c>
      <c r="Q13" s="140" t="s">
        <v>338</v>
      </c>
      <c r="R13" s="140" t="s">
        <v>338</v>
      </c>
      <c r="S13" s="140" t="s">
        <v>338</v>
      </c>
      <c r="T13" s="140" t="s">
        <v>338</v>
      </c>
      <c r="U13" s="140" t="s">
        <v>339</v>
      </c>
      <c r="V13" s="140" t="s">
        <v>340</v>
      </c>
      <c r="W13" s="140" t="s">
        <v>341</v>
      </c>
      <c r="X13" s="148" t="s">
        <v>342</v>
      </c>
      <c r="Y13" s="140" t="s">
        <v>342</v>
      </c>
      <c r="Z13" s="135" t="s">
        <v>343</v>
      </c>
      <c r="AA13" s="135" t="s">
        <v>344</v>
      </c>
      <c r="AB13" s="135" t="s">
        <v>345</v>
      </c>
      <c r="AC13" s="135" t="s">
        <v>346</v>
      </c>
      <c r="AD13" s="135" t="s">
        <v>347</v>
      </c>
      <c r="AE13" s="135" t="s">
        <v>348</v>
      </c>
      <c r="AF13" s="142" t="s">
        <v>349</v>
      </c>
    </row>
    <row r="14" spans="2:35" ht="18.75" customHeight="1" x14ac:dyDescent="0.25">
      <c r="B14" s="317"/>
      <c r="C14" s="318"/>
      <c r="D14" s="319"/>
      <c r="K14" s="156" t="s">
        <v>63</v>
      </c>
      <c r="L14" s="143" t="s">
        <v>48</v>
      </c>
      <c r="M14" s="140" t="s">
        <v>328</v>
      </c>
      <c r="N14" s="140"/>
      <c r="Q14" s="140"/>
      <c r="R14" s="140"/>
      <c r="S14" s="140"/>
      <c r="T14" s="140"/>
      <c r="U14" s="140"/>
      <c r="V14" s="140"/>
      <c r="W14" s="140"/>
      <c r="X14" s="148"/>
    </row>
    <row r="15" spans="2:35" ht="18.75" customHeight="1" x14ac:dyDescent="0.25">
      <c r="B15" s="317"/>
      <c r="C15" s="318"/>
      <c r="D15" s="319"/>
      <c r="K15" s="156" t="s">
        <v>66</v>
      </c>
      <c r="L15" s="143" t="s">
        <v>48</v>
      </c>
      <c r="M15" s="140" t="s">
        <v>328</v>
      </c>
      <c r="N15" s="140"/>
      <c r="P15" s="147"/>
    </row>
    <row r="16" spans="2:35" ht="18.75" customHeight="1" thickBot="1" x14ac:dyDescent="0.3">
      <c r="B16" s="320"/>
      <c r="C16" s="321"/>
      <c r="D16" s="322"/>
      <c r="K16" s="156" t="s">
        <v>68</v>
      </c>
      <c r="L16" s="147" t="s">
        <v>6</v>
      </c>
      <c r="M16" s="142" t="s">
        <v>331</v>
      </c>
      <c r="N16" s="142"/>
      <c r="P16" s="140"/>
    </row>
    <row r="17" spans="11:21" ht="18.75" customHeight="1" x14ac:dyDescent="0.25">
      <c r="K17" s="156" t="s">
        <v>71</v>
      </c>
      <c r="L17" s="143" t="s">
        <v>6</v>
      </c>
      <c r="M17" s="140" t="s">
        <v>332</v>
      </c>
      <c r="N17" s="140"/>
      <c r="P17" s="140"/>
    </row>
    <row r="18" spans="11:21" ht="18.75" customHeight="1" x14ac:dyDescent="0.25">
      <c r="K18" s="156" t="s">
        <v>75</v>
      </c>
      <c r="L18" s="143" t="s">
        <v>6</v>
      </c>
      <c r="M18" s="140" t="s">
        <v>332</v>
      </c>
      <c r="N18" s="140"/>
      <c r="P18" s="140"/>
      <c r="Q18" s="135" t="s">
        <v>350</v>
      </c>
      <c r="R18" s="135" t="s">
        <v>351</v>
      </c>
      <c r="T18" s="135" t="s">
        <v>351</v>
      </c>
      <c r="U18" s="135" t="s">
        <v>352</v>
      </c>
    </row>
    <row r="19" spans="11:21" ht="18.75" customHeight="1" x14ac:dyDescent="0.25">
      <c r="K19" s="156" t="s">
        <v>353</v>
      </c>
      <c r="L19" s="143" t="s">
        <v>6</v>
      </c>
      <c r="M19" s="140" t="s">
        <v>332</v>
      </c>
      <c r="N19" s="140"/>
      <c r="P19" s="140"/>
      <c r="Q19" s="135">
        <v>2000000</v>
      </c>
      <c r="R19" s="150">
        <f>Q19/166.386</f>
        <v>12020.242087675646</v>
      </c>
      <c r="S19" s="152">
        <v>14844.998978279424</v>
      </c>
      <c r="T19" s="135">
        <f>U19*166.386</f>
        <v>2654999.7718199999</v>
      </c>
      <c r="U19" s="135">
        <v>15956.87</v>
      </c>
    </row>
    <row r="20" spans="11:21" ht="18.75" customHeight="1" x14ac:dyDescent="0.25">
      <c r="K20" s="156" t="s">
        <v>354</v>
      </c>
      <c r="L20" s="143" t="s">
        <v>6</v>
      </c>
      <c r="M20" s="140" t="s">
        <v>332</v>
      </c>
      <c r="N20" s="140"/>
      <c r="P20" s="140"/>
      <c r="Q20" s="135">
        <v>500000</v>
      </c>
      <c r="R20" s="150">
        <f t="shared" ref="R20:R24" si="0">Q20/166.386</f>
        <v>3005.0605219189115</v>
      </c>
      <c r="S20" s="152">
        <v>3708.244684047937</v>
      </c>
    </row>
    <row r="21" spans="11:21" ht="18.75" customHeight="1" x14ac:dyDescent="0.25">
      <c r="K21" s="156" t="s">
        <v>90</v>
      </c>
      <c r="L21" s="147" t="s">
        <v>6</v>
      </c>
      <c r="M21" s="142" t="s">
        <v>332</v>
      </c>
      <c r="N21" s="142"/>
      <c r="Q21" s="135">
        <v>6000000</v>
      </c>
      <c r="R21" s="150">
        <f t="shared" si="0"/>
        <v>36060.72626302694</v>
      </c>
      <c r="S21" s="152">
        <v>44522.976692750592</v>
      </c>
    </row>
    <row r="22" spans="11:21" ht="18.75" customHeight="1" x14ac:dyDescent="0.25">
      <c r="K22" s="156" t="s">
        <v>95</v>
      </c>
      <c r="L22" s="143" t="s">
        <v>6</v>
      </c>
      <c r="M22" s="140" t="s">
        <v>332</v>
      </c>
      <c r="N22" s="140"/>
      <c r="Q22" s="135">
        <v>2000000</v>
      </c>
      <c r="R22" s="150">
        <f t="shared" si="0"/>
        <v>12020.242087675646</v>
      </c>
      <c r="S22" s="152">
        <v>14844.998978279424</v>
      </c>
    </row>
    <row r="23" spans="11:21" ht="18.75" customHeight="1" x14ac:dyDescent="0.25">
      <c r="K23" s="156" t="s">
        <v>97</v>
      </c>
      <c r="L23" s="143" t="s">
        <v>6</v>
      </c>
      <c r="M23" s="140" t="s">
        <v>332</v>
      </c>
      <c r="N23" s="140"/>
      <c r="Q23" s="135">
        <v>1000000</v>
      </c>
      <c r="R23" s="150">
        <f t="shared" si="0"/>
        <v>6010.121043837823</v>
      </c>
      <c r="S23" s="152">
        <v>7422.4994891397118</v>
      </c>
    </row>
    <row r="24" spans="11:21" ht="18.75" customHeight="1" x14ac:dyDescent="0.25">
      <c r="K24" s="157" t="s">
        <v>355</v>
      </c>
      <c r="L24" s="143" t="s">
        <v>6</v>
      </c>
      <c r="M24" s="140" t="s">
        <v>332</v>
      </c>
      <c r="N24" s="140"/>
      <c r="Q24" s="135">
        <v>6000000</v>
      </c>
      <c r="R24" s="150">
        <f t="shared" si="0"/>
        <v>36060.72626302694</v>
      </c>
      <c r="S24" s="152">
        <v>44522.976692750592</v>
      </c>
    </row>
    <row r="25" spans="11:21" ht="18.75" customHeight="1" x14ac:dyDescent="0.25">
      <c r="K25" s="157" t="s">
        <v>310</v>
      </c>
      <c r="L25" s="143" t="s">
        <v>6</v>
      </c>
      <c r="M25" s="140" t="s">
        <v>332</v>
      </c>
      <c r="N25" s="143"/>
    </row>
    <row r="26" spans="11:21" ht="18.75" customHeight="1" x14ac:dyDescent="0.25">
      <c r="K26" s="156" t="s">
        <v>101</v>
      </c>
      <c r="L26" s="143" t="s">
        <v>7</v>
      </c>
      <c r="M26" s="140" t="s">
        <v>333</v>
      </c>
      <c r="N26" s="143"/>
    </row>
    <row r="27" spans="11:21" ht="18.75" customHeight="1" x14ac:dyDescent="0.25">
      <c r="K27" s="143" t="s">
        <v>292</v>
      </c>
      <c r="L27" s="143"/>
      <c r="M27" s="143"/>
      <c r="N27" s="143"/>
    </row>
    <row r="28" spans="11:21" ht="18.75" customHeight="1" x14ac:dyDescent="0.25">
      <c r="K28" s="143" t="s">
        <v>156</v>
      </c>
      <c r="L28" s="143"/>
      <c r="M28" s="143"/>
      <c r="N28" s="143"/>
    </row>
    <row r="29" spans="11:21" ht="18.75" customHeight="1" x14ac:dyDescent="0.25">
      <c r="K29" s="135" t="s">
        <v>158</v>
      </c>
    </row>
  </sheetData>
  <sheetProtection sheet="1" selectLockedCells="1"/>
  <mergeCells count="6">
    <mergeCell ref="B13:D16"/>
    <mergeCell ref="G2:I2"/>
    <mergeCell ref="G3:I5"/>
    <mergeCell ref="B8:D8"/>
    <mergeCell ref="B9:D10"/>
    <mergeCell ref="B12:D12"/>
  </mergeCells>
  <conditionalFormatting sqref="B8:D8">
    <cfRule type="expression" dxfId="39" priority="5">
      <formula>IF($C$5="SÍ",TRUE,FALSE)</formula>
    </cfRule>
    <cfRule type="expression" dxfId="38" priority="8">
      <formula>IF($D$5="GRUPO IV",TRUE,FALSE)</formula>
    </cfRule>
    <cfRule type="expression" dxfId="37" priority="14">
      <formula>IF($D$5="GRUPO III",TRUE,FALSE)</formula>
    </cfRule>
  </conditionalFormatting>
  <conditionalFormatting sqref="B9:D10">
    <cfRule type="expression" dxfId="36" priority="6">
      <formula>IF($C$5="SÍ",TRUE,FALSE)</formula>
    </cfRule>
  </conditionalFormatting>
  <conditionalFormatting sqref="B12:D12">
    <cfRule type="expression" dxfId="35" priority="3">
      <formula>IF($C$5="No",TRUE,FALSE)</formula>
    </cfRule>
    <cfRule type="expression" dxfId="34" priority="4">
      <formula>IF($D$5="GRUPO IV",TRUE,FALSE)</formula>
    </cfRule>
    <cfRule type="expression" dxfId="33" priority="12">
      <formula>IF($D$5="GRUPO III",TRUE,FALSE)</formula>
    </cfRule>
  </conditionalFormatting>
  <conditionalFormatting sqref="B13:D16">
    <cfRule type="expression" dxfId="32" priority="1">
      <formula>IF($C$5="No",TRUE,FALSE)</formula>
    </cfRule>
    <cfRule type="expression" dxfId="31" priority="2">
      <formula>IF($D$5="GRUPO IV",TRUE,FALSE)</formula>
    </cfRule>
    <cfRule type="expression" dxfId="30" priority="11">
      <formula>IF($D$5="GRUPO III",TRUE,FALSE)</formula>
    </cfRule>
  </conditionalFormatting>
  <conditionalFormatting sqref="B2 B4:D4">
    <cfRule type="expression" dxfId="29" priority="10">
      <formula>IF($D$5="GRUPO III",TRUE,FALSE)</formula>
    </cfRule>
  </conditionalFormatting>
  <conditionalFormatting sqref="B2 B4:D4">
    <cfRule type="expression" dxfId="28" priority="9">
      <formula>IF($D$5="GRUPO IV",TRUE,FALSE)</formula>
    </cfRule>
  </conditionalFormatting>
  <conditionalFormatting sqref="D5 B9:D10">
    <cfRule type="expression" dxfId="27" priority="7">
      <formula>IF($D$5="GRUPO IV",TRUE,FALSE)</formula>
    </cfRule>
    <cfRule type="expression" dxfId="26" priority="13">
      <formula>IF($D$5="GRUPO III",TRUE,FALSE)</formula>
    </cfRule>
  </conditionalFormatting>
  <dataValidations count="2">
    <dataValidation type="list" showInputMessage="1" showErrorMessage="1" errorTitle="Parentesco no encontrado" error="Por favor, seleccione un parentesco de la lista desplegable" sqref="B5">
      <formula1>$K$5:$K$26</formula1>
    </dataValidation>
    <dataValidation type="list" showInputMessage="1" showErrorMessage="1" sqref="C5">
      <formula1>$K$28:$K$29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7"/>
  <sheetViews>
    <sheetView workbookViewId="0">
      <selection activeCell="E5" sqref="E5"/>
    </sheetView>
  </sheetViews>
  <sheetFormatPr baseColWidth="10" defaultRowHeight="18.75" customHeight="1" x14ac:dyDescent="0.25"/>
  <cols>
    <col min="1" max="1" width="3.5703125" style="6" customWidth="1"/>
    <col min="2" max="2" width="41.5703125" style="6" customWidth="1"/>
    <col min="3" max="3" width="22.85546875" style="6" customWidth="1"/>
    <col min="4" max="4" width="22.42578125" style="6" hidden="1" customWidth="1"/>
    <col min="5" max="5" width="25.7109375" style="6" customWidth="1"/>
    <col min="6" max="6" width="17.140625" style="6" customWidth="1"/>
    <col min="7" max="8" width="3.5703125" style="6" customWidth="1"/>
    <col min="9" max="9" width="27.140625" style="6" customWidth="1"/>
    <col min="10" max="10" width="17.85546875" style="6" customWidth="1"/>
    <col min="11" max="11" width="5" style="88" customWidth="1"/>
    <col min="12" max="12" width="10" style="6" customWidth="1"/>
    <col min="13" max="13" width="17.85546875" style="6" customWidth="1"/>
    <col min="14" max="14" width="3.5703125" style="6" customWidth="1"/>
    <col min="15" max="15" width="27.7109375" style="6" hidden="1" customWidth="1"/>
    <col min="16" max="16" width="11.42578125" style="6" hidden="1" customWidth="1"/>
    <col min="17" max="17" width="26.42578125" style="6" hidden="1" customWidth="1"/>
    <col min="18" max="19" width="11.42578125" style="6" hidden="1" customWidth="1"/>
    <col min="20" max="20" width="17.140625" style="6" hidden="1" customWidth="1"/>
    <col min="21" max="21" width="12.85546875" style="6" hidden="1" customWidth="1"/>
    <col min="22" max="22" width="19.7109375" style="6" hidden="1" customWidth="1"/>
    <col min="23" max="23" width="22.28515625" style="6" hidden="1" customWidth="1"/>
    <col min="24" max="27" width="17.140625" style="6" hidden="1" customWidth="1"/>
    <col min="28" max="28" width="17.140625" style="6" customWidth="1"/>
    <col min="29" max="29" width="11.42578125" style="6" customWidth="1"/>
    <col min="30" max="16384" width="11.42578125" style="6"/>
  </cols>
  <sheetData>
    <row r="2" spans="2:28" ht="18.75" customHeight="1" x14ac:dyDescent="0.25">
      <c r="B2" s="77" t="s">
        <v>145</v>
      </c>
      <c r="D2" s="77" t="s">
        <v>146</v>
      </c>
      <c r="E2" s="77" t="s">
        <v>1</v>
      </c>
      <c r="I2" s="334" t="s">
        <v>147</v>
      </c>
      <c r="J2" s="335"/>
      <c r="K2" s="335"/>
      <c r="L2" s="336"/>
      <c r="M2" s="78" t="s">
        <v>148</v>
      </c>
      <c r="Q2" s="281" t="s">
        <v>2</v>
      </c>
      <c r="R2" s="282"/>
      <c r="S2" s="282"/>
      <c r="T2" s="282"/>
      <c r="W2" s="10" t="s">
        <v>36</v>
      </c>
      <c r="X2" s="10" t="s">
        <v>37</v>
      </c>
      <c r="Y2" s="10" t="s">
        <v>37</v>
      </c>
      <c r="AA2" s="7" t="s">
        <v>8</v>
      </c>
      <c r="AB2" s="7"/>
    </row>
    <row r="3" spans="2:28" ht="37.5" customHeight="1" x14ac:dyDescent="0.25">
      <c r="B3" s="79">
        <f ca="1">TODAY()</f>
        <v>44839</v>
      </c>
      <c r="D3" s="6">
        <f ca="1">IF(ISBLANK(B3),"",IF(DATE(YEAR(B3),MONTH(B3),DAY(B3))&gt;DATE(YEAR(T28),MONTH(T28),DAY(T28)),2,IF(DATE(YEAR(B3),MONTH(B3),DAY(B3))&gt;DATE(YEAR(U28),MONTH(U28),DAY(U28)),3,IF(DATE(YEAR(B3),MONTH(B3),DAY(B3))&gt;DATE(YEAR(#REF!),MONTH(#REF!),DAY(#REF!)),4,IF(DATE(YEAR(B3),MONTH(B3),DAY(B3))&gt;DATE(YEAR(#REF!),MONTH(#REF!),DAY(#REF!)),5,IF(DATE(YEAR(B3),MONTH(B3),DAY(B3))&gt;DATE(YEAR(#REF!),MONTH(#REF!),DAY(#REF!)),6,IF(DATE(YEAR(B3),MONTH(B3),DAY(B3))&gt;DATE(YEAR(#REF!),MONTH(#REF!),DAY(#REF!)),7,IF(DATE(YEAR(B3),MONTH(B3),DAY(B3))&gt;DATE(YEAR(#REF!),MONTH(#REF!),DAY(#REF!)),8,9))))))))</f>
        <v>2</v>
      </c>
      <c r="E3" s="80" t="s">
        <v>3</v>
      </c>
      <c r="I3" s="337" t="s">
        <v>149</v>
      </c>
      <c r="J3" s="282"/>
      <c r="K3" s="282"/>
      <c r="L3" s="282"/>
      <c r="M3" s="81" t="e">
        <f>B5-B10</f>
        <v>#VALUE!</v>
      </c>
      <c r="O3" s="6" t="s">
        <v>150</v>
      </c>
      <c r="P3" s="6" t="s">
        <v>151</v>
      </c>
      <c r="Q3" s="63" t="s">
        <v>4</v>
      </c>
      <c r="R3" s="5" t="s">
        <v>5</v>
      </c>
      <c r="S3" s="5" t="s">
        <v>6</v>
      </c>
      <c r="T3" s="5" t="s">
        <v>7</v>
      </c>
      <c r="W3" s="5" t="s">
        <v>43</v>
      </c>
      <c r="X3" s="10" t="s">
        <v>44</v>
      </c>
      <c r="Y3" s="10" t="s">
        <v>5</v>
      </c>
      <c r="Z3" s="10" t="s">
        <v>5</v>
      </c>
      <c r="AA3" s="7" t="s">
        <v>11</v>
      </c>
      <c r="AB3" s="7"/>
    </row>
    <row r="4" spans="2:28" ht="18.75" customHeight="1" x14ac:dyDescent="0.25">
      <c r="B4" s="77" t="s">
        <v>152</v>
      </c>
      <c r="C4" s="77" t="s">
        <v>150</v>
      </c>
      <c r="E4" s="77" t="s">
        <v>153</v>
      </c>
      <c r="I4" s="338" t="s">
        <v>154</v>
      </c>
      <c r="J4" s="282"/>
      <c r="K4" s="282"/>
      <c r="L4" s="282"/>
      <c r="M4" s="81" t="e">
        <f>M3*F10</f>
        <v>#VALUE!</v>
      </c>
      <c r="O4" s="6" t="s">
        <v>155</v>
      </c>
      <c r="P4" s="6" t="s">
        <v>156</v>
      </c>
      <c r="Q4" s="63" t="s">
        <v>3</v>
      </c>
      <c r="R4" s="63">
        <v>1</v>
      </c>
      <c r="S4" s="63">
        <v>1.5882000000000001</v>
      </c>
      <c r="T4" s="63">
        <v>2</v>
      </c>
      <c r="W4" s="5" t="s">
        <v>47</v>
      </c>
      <c r="X4" s="10" t="s">
        <v>48</v>
      </c>
      <c r="Y4" s="10" t="s">
        <v>5</v>
      </c>
      <c r="Z4" s="10" t="s">
        <v>6</v>
      </c>
      <c r="AA4" s="7" t="s">
        <v>16</v>
      </c>
      <c r="AB4" s="7"/>
    </row>
    <row r="5" spans="2:28" ht="37.5" customHeight="1" x14ac:dyDescent="0.25">
      <c r="B5" s="82" t="str">
        <f>'MODELO 650'!Q6</f>
        <v/>
      </c>
      <c r="C5" s="82" t="s">
        <v>157</v>
      </c>
      <c r="E5" s="82" t="str">
        <f>IF('MODELO 650'!O2="Causante SIN testamento","NO","SÍ")</f>
        <v>SÍ</v>
      </c>
      <c r="I5" s="338" t="s">
        <v>159</v>
      </c>
      <c r="J5" s="282"/>
      <c r="K5" s="282"/>
      <c r="L5" s="282"/>
      <c r="M5" s="81" t="e">
        <f>C10+M4</f>
        <v>#VALUE!</v>
      </c>
      <c r="O5" s="6" t="s">
        <v>157</v>
      </c>
      <c r="P5" s="6" t="s">
        <v>158</v>
      </c>
      <c r="Q5" s="63" t="s">
        <v>160</v>
      </c>
      <c r="R5" s="63">
        <v>1</v>
      </c>
      <c r="S5" s="63">
        <v>1.6676</v>
      </c>
      <c r="T5" s="63">
        <v>2.1</v>
      </c>
      <c r="W5" s="5" t="s">
        <v>45</v>
      </c>
      <c r="X5" s="10" t="s">
        <v>48</v>
      </c>
      <c r="Y5" s="10" t="s">
        <v>5</v>
      </c>
      <c r="Z5" s="10" t="s">
        <v>7</v>
      </c>
      <c r="AA5" s="7" t="s">
        <v>20</v>
      </c>
      <c r="AB5" s="7"/>
    </row>
    <row r="6" spans="2:28" ht="18.75" customHeight="1" thickBot="1" x14ac:dyDescent="0.3">
      <c r="B6" s="77" t="s">
        <v>39</v>
      </c>
      <c r="C6" s="77" t="s">
        <v>161</v>
      </c>
      <c r="D6" s="77" t="s">
        <v>162</v>
      </c>
      <c r="E6" s="77" t="s">
        <v>163</v>
      </c>
      <c r="I6" s="338" t="s">
        <v>164</v>
      </c>
      <c r="J6" s="282"/>
      <c r="K6" s="282"/>
      <c r="L6" s="282"/>
      <c r="M6" s="83" t="e">
        <f>IF(B7="","",M5*E7)</f>
        <v>#VALUE!</v>
      </c>
      <c r="O6" s="6" t="s">
        <v>165</v>
      </c>
      <c r="Q6" s="63" t="s">
        <v>166</v>
      </c>
      <c r="R6" s="63">
        <v>1</v>
      </c>
      <c r="S6" s="63">
        <v>1.7471000000000001</v>
      </c>
      <c r="T6" s="63">
        <v>2.2000000000000002</v>
      </c>
      <c r="W6" s="5" t="s">
        <v>51</v>
      </c>
      <c r="X6" s="10" t="s">
        <v>48</v>
      </c>
      <c r="Y6" s="10" t="s">
        <v>5</v>
      </c>
      <c r="AA6" s="7"/>
      <c r="AB6" s="7"/>
    </row>
    <row r="7" spans="2:28" ht="37.5" customHeight="1" thickBot="1" x14ac:dyDescent="0.3">
      <c r="B7" s="84" t="str">
        <f>VLOOKUP('MODELO 650'!M2,'MODELO 650'!C12:H21,2,0)</f>
        <v>Cónyuge</v>
      </c>
      <c r="C7" s="85" t="str">
        <f>IF(B7="","",VLOOKUP(B7,W3:X21,2,0))</f>
        <v>GRUPO II</v>
      </c>
      <c r="D7" s="85" t="str">
        <f>IF(B7="","",VLOOKUP(B7,W3:Y21,3,0))</f>
        <v>GRUPO I / II</v>
      </c>
      <c r="E7" s="85">
        <f>IF(B7="","",VLOOKUP(E3,Q4:T7,VLOOKUP(D7,Z3:AA5,2,0),0))</f>
        <v>1</v>
      </c>
      <c r="I7" s="339" t="e">
        <f>M6</f>
        <v>#VALUE!</v>
      </c>
      <c r="J7" s="282"/>
      <c r="K7" s="282"/>
      <c r="L7" s="282"/>
      <c r="M7" s="86" t="s">
        <v>167</v>
      </c>
      <c r="Q7" s="63" t="s">
        <v>23</v>
      </c>
      <c r="R7" s="63">
        <v>1</v>
      </c>
      <c r="S7" s="63">
        <v>1.9058999999999999</v>
      </c>
      <c r="T7" s="63">
        <v>2.4</v>
      </c>
      <c r="W7" s="5" t="s">
        <v>53</v>
      </c>
      <c r="X7" s="10" t="s">
        <v>48</v>
      </c>
      <c r="Y7" s="10" t="s">
        <v>5</v>
      </c>
      <c r="AA7" s="7"/>
      <c r="AB7" s="7"/>
    </row>
    <row r="8" spans="2:28" ht="18.75" customHeight="1" x14ac:dyDescent="0.25">
      <c r="I8" s="87"/>
      <c r="W8" s="5" t="s">
        <v>55</v>
      </c>
      <c r="X8" s="10" t="s">
        <v>48</v>
      </c>
      <c r="Y8" s="10" t="s">
        <v>5</v>
      </c>
      <c r="AA8" s="7"/>
      <c r="AB8" s="7"/>
    </row>
    <row r="9" spans="2:28" ht="37.5" customHeight="1" x14ac:dyDescent="0.25">
      <c r="B9" s="89" t="s">
        <v>168</v>
      </c>
      <c r="C9" s="89" t="s">
        <v>169</v>
      </c>
      <c r="E9" s="89" t="s">
        <v>170</v>
      </c>
      <c r="F9" s="89" t="s">
        <v>171</v>
      </c>
      <c r="I9" s="279" t="s">
        <v>172</v>
      </c>
      <c r="J9" s="279"/>
      <c r="K9" s="335"/>
      <c r="L9" s="335"/>
      <c r="M9" s="335"/>
      <c r="O9" s="6" t="str">
        <f>IF(AND(D7="GRUPO I / II",C5=O5,E5="Sí"),"T2",IF(AND(D7="GRUPO I / II",OR(C5=O4,C5=O6,AND(C5=O5,E5="No"))),"T1","T3"))</f>
        <v>T2</v>
      </c>
      <c r="Q9" s="90" t="s">
        <v>168</v>
      </c>
      <c r="R9" s="90" t="s">
        <v>169</v>
      </c>
      <c r="S9" s="90" t="s">
        <v>170</v>
      </c>
      <c r="T9" s="90" t="s">
        <v>171</v>
      </c>
      <c r="W9" s="5" t="s">
        <v>57</v>
      </c>
      <c r="X9" s="10" t="s">
        <v>48</v>
      </c>
      <c r="Y9" s="10" t="s">
        <v>5</v>
      </c>
      <c r="AA9" s="7"/>
      <c r="AB9" s="7"/>
    </row>
    <row r="10" spans="2:28" ht="18.75" customHeight="1" x14ac:dyDescent="0.25">
      <c r="B10" s="91">
        <f>IF($O$11="","",VLOOKUP($O$11,$P$10:$U$57,2,0))</f>
        <v>0</v>
      </c>
      <c r="C10" s="91">
        <f>IF($O$11="","",VLOOKUP($O$11,$P$10:$U$57,3,0))</f>
        <v>0</v>
      </c>
      <c r="D10" s="92"/>
      <c r="E10" s="91">
        <f>IF($O$11="","",VLOOKUP($O$11,$P$10:$U$57,4,0))</f>
        <v>0</v>
      </c>
      <c r="F10" s="93">
        <f>IF($O$11="","",VLOOKUP($O$11,$P$10:$U$57,5,0))</f>
        <v>0</v>
      </c>
      <c r="I10" s="296" t="s">
        <v>173</v>
      </c>
      <c r="J10" s="298"/>
      <c r="K10" s="298"/>
      <c r="L10" s="298"/>
      <c r="M10" s="298"/>
      <c r="O10" s="6" t="str">
        <f>IF(B5&lt;B14,"F1",IF(B5&lt;B15,"F2",IF(B5&lt;B16,"F3",IF(B5&lt;B17,"F4",IF(B5&lt;B18,"F5",IF(B5&lt;B19,"F6",IF(B5&lt;B20,"F7",IF(B5&lt;B21,"F8",IF(B5&lt;B22,"F9",IF(B5&lt;B23,"F10",IF(B5&lt;B24,"F11",IF(B5&lt;B25,"F12",IF(B5&lt;B26,"F13",IF(B5&lt;B27,"F14",IF(B5&lt;B28,"F15","F16")))))))))))))))</f>
        <v>F16</v>
      </c>
      <c r="P10" s="6" t="s">
        <v>174</v>
      </c>
      <c r="Q10" s="92">
        <v>0</v>
      </c>
      <c r="R10" s="92">
        <v>0</v>
      </c>
      <c r="S10" s="92">
        <v>50000</v>
      </c>
      <c r="T10" s="94">
        <v>0.05</v>
      </c>
      <c r="U10" s="6">
        <v>0.05</v>
      </c>
      <c r="W10" s="5" t="s">
        <v>60</v>
      </c>
      <c r="X10" s="10" t="s">
        <v>48</v>
      </c>
      <c r="Y10" s="10" t="s">
        <v>5</v>
      </c>
      <c r="AA10" s="7"/>
      <c r="AB10" s="7"/>
    </row>
    <row r="11" spans="2:28" ht="18.75" customHeight="1" x14ac:dyDescent="0.25">
      <c r="E11" s="95"/>
      <c r="F11" s="96"/>
      <c r="I11" s="298"/>
      <c r="J11" s="298"/>
      <c r="K11" s="298"/>
      <c r="L11" s="298"/>
      <c r="M11" s="298"/>
      <c r="O11" s="6" t="str">
        <f>CONCATENATE(O9,O10)</f>
        <v>T2F16</v>
      </c>
      <c r="P11" s="6" t="s">
        <v>175</v>
      </c>
      <c r="Q11" s="92">
        <v>50000</v>
      </c>
      <c r="R11" s="92">
        <v>2500</v>
      </c>
      <c r="S11" s="92">
        <v>75000</v>
      </c>
      <c r="T11" s="94">
        <v>7.0000000000000007E-2</v>
      </c>
      <c r="U11" s="6">
        <v>7.0000000000000007E-2</v>
      </c>
      <c r="W11" s="5" t="s">
        <v>63</v>
      </c>
      <c r="X11" s="10" t="s">
        <v>48</v>
      </c>
      <c r="Y11" s="10" t="s">
        <v>5</v>
      </c>
      <c r="AA11" s="7"/>
      <c r="AB11" s="7"/>
    </row>
    <row r="12" spans="2:28" ht="37.5" customHeight="1" x14ac:dyDescent="0.25">
      <c r="B12" s="90" t="s">
        <v>168</v>
      </c>
      <c r="C12" s="90" t="s">
        <v>169</v>
      </c>
      <c r="E12" s="90" t="s">
        <v>170</v>
      </c>
      <c r="F12" s="90" t="s">
        <v>171</v>
      </c>
      <c r="I12" s="298"/>
      <c r="J12" s="298"/>
      <c r="K12" s="298"/>
      <c r="L12" s="298"/>
      <c r="M12" s="298"/>
      <c r="P12" s="95" t="s">
        <v>176</v>
      </c>
      <c r="Q12" s="92">
        <v>125000</v>
      </c>
      <c r="R12" s="92">
        <v>7750</v>
      </c>
      <c r="S12" s="92">
        <v>175000</v>
      </c>
      <c r="T12" s="94">
        <v>0.09</v>
      </c>
      <c r="U12" s="6">
        <v>0.09</v>
      </c>
      <c r="W12" s="5" t="s">
        <v>66</v>
      </c>
      <c r="X12" s="10" t="s">
        <v>48</v>
      </c>
      <c r="Y12" s="10" t="s">
        <v>5</v>
      </c>
      <c r="AA12" s="7"/>
      <c r="AB12" s="7"/>
    </row>
    <row r="13" spans="2:28" ht="18.75" customHeight="1" x14ac:dyDescent="0.25">
      <c r="B13" s="97">
        <f>IF($O$9="","",IF(ISBLANK(VLOOKUP(CONCATENATE($O$9,"F1"),$P$10:$U$57,2,0)),"",VLOOKUP(CONCATENATE($O$9,"F1"),$P$10:$U$57,2,0)))</f>
        <v>0</v>
      </c>
      <c r="C13" s="97">
        <f>IF($O$9="","",IF(ISBLANK(VLOOKUP(CONCATENATE($O$9,"F1"),$P$10:$U$57,2,0)),"",VLOOKUP(CONCATENATE($O$9,"F1"),$P$10:$U$57,3,0)))</f>
        <v>0</v>
      </c>
      <c r="D13" s="92" t="s">
        <v>177</v>
      </c>
      <c r="E13" s="97">
        <f>IF($O$9="","",IF(ISBLANK(VLOOKUP(CONCATENATE($O$9,"F1"),$P$10:$U$57,2,0)),"",VLOOKUP(CONCATENATE($O$9,"F1"),$P$10:$U$57,4,0)))</f>
        <v>200000</v>
      </c>
      <c r="F13" s="98">
        <f>IF($O$9="","",IF(ISBLANK(VLOOKUP(CONCATENATE($O$9,"F1"),$P$10:$U$57,2,0)),"",VLOOKUP(CONCATENATE($O$9,"F1"),$P$10:$U$57,5,0)))</f>
        <v>0.05</v>
      </c>
      <c r="I13" s="87"/>
      <c r="J13" s="87"/>
      <c r="O13" s="6" t="b">
        <f>IF(B5&lt;B14,"F1",IF(B5&lt;B15,"F2",IF(B5&lt;B16,"F3")))</f>
        <v>0</v>
      </c>
      <c r="P13" s="6" t="s">
        <v>178</v>
      </c>
      <c r="Q13" s="92">
        <v>300000</v>
      </c>
      <c r="R13" s="92">
        <v>23500</v>
      </c>
      <c r="S13" s="92">
        <v>500000</v>
      </c>
      <c r="T13" s="94">
        <v>0.11</v>
      </c>
      <c r="U13" s="6">
        <v>0.11</v>
      </c>
      <c r="W13" s="5" t="s">
        <v>68</v>
      </c>
      <c r="X13" s="10" t="s">
        <v>6</v>
      </c>
      <c r="Y13" s="10" t="s">
        <v>6</v>
      </c>
    </row>
    <row r="14" spans="2:28" ht="18.75" customHeight="1" x14ac:dyDescent="0.25">
      <c r="B14" s="97">
        <f>IF($O$9="","",IF(ISBLANK(VLOOKUP(CONCATENATE($O$9,"F2"),$P$10:$U$57,2,0)),"",VLOOKUP(CONCATENATE($O$9,"F2"),$P$10:$U$57,2,0)))</f>
        <v>200000</v>
      </c>
      <c r="C14" s="97">
        <f>IF($O$9="","",IF(ISBLANK(VLOOKUP(CONCATENATE($O$9,"F2"),$P$10:$U$57,2,0)),"",VLOOKUP(CONCATENATE($O$9,"F2"),$P$10:$U$57,3,0)))</f>
        <v>10000</v>
      </c>
      <c r="D14" s="92" t="s">
        <v>179</v>
      </c>
      <c r="E14" s="97">
        <f>IF($O$9="","",IF(ISBLANK(VLOOKUP(CONCATENATE($O$9,"F2"),$P$10:$U$57,2,0)),"",VLOOKUP(CONCATENATE($O$9,"F2"),$P$10:$U$57,4,0)))</f>
        <v>400000</v>
      </c>
      <c r="F14" s="98">
        <f>IF($O$9="","",IF(ISBLANK(VLOOKUP(CONCATENATE($O$9,"F2"),$P$10:$U$57,2,0)),"",VLOOKUP(CONCATENATE($O$9,"F2"),$P$10:$U$57,5,0)))</f>
        <v>7.0000000000000007E-2</v>
      </c>
      <c r="I14" s="340" t="s">
        <v>180</v>
      </c>
      <c r="J14" s="340"/>
      <c r="K14" s="341"/>
      <c r="L14" s="341"/>
      <c r="M14" s="341"/>
      <c r="P14" s="6" t="s">
        <v>181</v>
      </c>
      <c r="Q14" s="92">
        <v>800000</v>
      </c>
      <c r="R14" s="92">
        <v>78500</v>
      </c>
      <c r="S14" s="92">
        <v>800000</v>
      </c>
      <c r="T14" s="94">
        <v>0.15</v>
      </c>
      <c r="U14" s="6">
        <v>0.15</v>
      </c>
      <c r="W14" s="5" t="s">
        <v>71</v>
      </c>
      <c r="X14" s="10" t="s">
        <v>6</v>
      </c>
      <c r="Y14" s="10" t="s">
        <v>6</v>
      </c>
    </row>
    <row r="15" spans="2:28" ht="18.75" customHeight="1" x14ac:dyDescent="0.25">
      <c r="B15" s="97">
        <f>IF($O$9="","",IF(ISBLANK(VLOOKUP(CONCATENATE($O$9,"F3"),$P$10:$U$57,2,0)),"",VLOOKUP(CONCATENATE($O$9,"F3"),$P$10:$U$57,2,0)))</f>
        <v>600000</v>
      </c>
      <c r="C15" s="97">
        <f>IF($O$9="","",IF(ISBLANK(VLOOKUP(CONCATENATE($O$9,"F3"),$P$10:$U$57,2,0)),"",VLOOKUP(CONCATENATE($O$9,"F3"),$P$10:$U$57,3,0)))</f>
        <v>38000</v>
      </c>
      <c r="D15" s="92" t="s">
        <v>182</v>
      </c>
      <c r="E15" s="97" t="str">
        <f>IF($O$9="","",IF(ISBLANK(VLOOKUP(CONCATENATE($O$9,"F3"),$P$10:$U$57,2,0)),"",VLOOKUP(CONCATENATE($O$9,"F3"),$P$10:$U$57,4,0)))</f>
        <v>En adelante</v>
      </c>
      <c r="F15" s="98">
        <f>IF($O$9="","",IF(ISBLANK(VLOOKUP(CONCATENATE($O$9,"F3"),$P$10:$U$57,2,0)),"",VLOOKUP(CONCATENATE($O$9,"F3"),$P$10:$U$57,5,0)))</f>
        <v>0.09</v>
      </c>
      <c r="H15" s="99">
        <v>1</v>
      </c>
      <c r="I15" s="342" t="s">
        <v>183</v>
      </c>
      <c r="J15" s="342"/>
      <c r="K15" s="342"/>
      <c r="L15" s="342"/>
      <c r="M15" s="100" t="str">
        <f>B5</f>
        <v/>
      </c>
      <c r="P15" s="6" t="s">
        <v>184</v>
      </c>
      <c r="Q15" s="92">
        <v>1600000</v>
      </c>
      <c r="R15" s="92">
        <v>198500</v>
      </c>
      <c r="S15" s="92" t="s">
        <v>185</v>
      </c>
      <c r="T15" s="94">
        <v>0.18</v>
      </c>
      <c r="U15" s="6">
        <v>0.18</v>
      </c>
      <c r="W15" s="5" t="s">
        <v>75</v>
      </c>
      <c r="X15" s="10" t="s">
        <v>6</v>
      </c>
      <c r="Y15" s="10" t="s">
        <v>6</v>
      </c>
    </row>
    <row r="16" spans="2:28" ht="18.75" customHeight="1" x14ac:dyDescent="0.25">
      <c r="B16" s="97" t="str">
        <f>IF($O$9="","",IF(ISBLANK(VLOOKUP(CONCATENATE($O$9,"F4"),$P$10:$U$57,2,0)),"",VLOOKUP(CONCATENATE($O$9,"F4"),$P$10:$U$57,2,0)))</f>
        <v/>
      </c>
      <c r="C16" s="97" t="str">
        <f>IF($O$9="","",IF(ISBLANK(VLOOKUP(CONCATENATE($O$9,"F4"),$P$10:$U$57,2,0)),"",VLOOKUP(CONCATENATE($O$9,"F4"),$P$10:$U$57,3,0)))</f>
        <v/>
      </c>
      <c r="D16" s="92" t="s">
        <v>186</v>
      </c>
      <c r="E16" s="97" t="str">
        <f>IF($O$9="","",IF(ISBLANK(VLOOKUP(CONCATENATE($O$9,"F4"),$P$10:$U$57,2,0)),"",VLOOKUP(CONCATENATE($O$9,"F4"),$P$10:$U$57,4,0)))</f>
        <v/>
      </c>
      <c r="F16" s="98" t="str">
        <f>IF($O$9="","",IF(ISBLANK(VLOOKUP(CONCATENATE($O$9,"F4"),$P$10:$U$57,2,0)),"",VLOOKUP(CONCATENATE($O$9,"F4"),$P$10:$U$57,5,0)))</f>
        <v/>
      </c>
      <c r="H16" s="99">
        <v>11</v>
      </c>
      <c r="I16" s="333" t="s">
        <v>187</v>
      </c>
      <c r="J16" s="333"/>
      <c r="K16" s="333"/>
      <c r="L16" s="333"/>
      <c r="M16" s="100" t="str">
        <f>M15</f>
        <v/>
      </c>
      <c r="P16" s="6" t="s">
        <v>188</v>
      </c>
      <c r="Q16" s="92"/>
      <c r="R16" s="92"/>
      <c r="S16" s="92"/>
      <c r="T16" s="94"/>
      <c r="W16" s="5" t="s">
        <v>80</v>
      </c>
      <c r="X16" s="10" t="s">
        <v>6</v>
      </c>
      <c r="Y16" s="10" t="s">
        <v>6</v>
      </c>
    </row>
    <row r="17" spans="2:28" ht="18.75" customHeight="1" x14ac:dyDescent="0.25">
      <c r="B17" s="97" t="str">
        <f>IF($O$9="","",IF(ISBLANK(VLOOKUP(CONCATENATE($O$9,"F5"),$P$10:$U$57,2,0)),"",VLOOKUP(CONCATENATE($O$9,"F5"),$P$10:$U$57,2,0)))</f>
        <v/>
      </c>
      <c r="C17" s="97" t="str">
        <f>IF($O$9="","",IF(ISBLANK(VLOOKUP(CONCATENATE($O$9,"F5"),$P$10:$U$57,2,0)),"",VLOOKUP(CONCATENATE($O$9,"F5"),$P$10:$U$57,3,0)))</f>
        <v/>
      </c>
      <c r="D17" s="92" t="s">
        <v>189</v>
      </c>
      <c r="E17" s="97" t="str">
        <f>IF($O$9="","",IF(ISBLANK(VLOOKUP(CONCATENATE($O$9,"F5"),$P$10:$U$57,2,0)),"",VLOOKUP(CONCATENATE($O$9,"F5"),$P$10:$U$57,4,0)))</f>
        <v/>
      </c>
      <c r="F17" s="98" t="str">
        <f>IF($O$9="","",IF(ISBLANK(VLOOKUP(CONCATENATE($O$9,"F5"),$P$10:$U$57,2,0)),"",VLOOKUP(CONCATENATE($O$9,"F5"),$P$10:$U$57,5,0)))</f>
        <v/>
      </c>
      <c r="H17" s="99">
        <v>23</v>
      </c>
      <c r="I17" s="333" t="s">
        <v>190</v>
      </c>
      <c r="J17" s="333"/>
      <c r="K17" s="333"/>
      <c r="L17" s="333"/>
      <c r="M17" s="100" t="str">
        <f>M16</f>
        <v/>
      </c>
      <c r="P17" s="6" t="s">
        <v>191</v>
      </c>
      <c r="Q17" s="92"/>
      <c r="R17" s="92"/>
      <c r="S17" s="92"/>
      <c r="T17" s="94"/>
      <c r="W17" s="5" t="s">
        <v>85</v>
      </c>
      <c r="X17" s="10" t="s">
        <v>6</v>
      </c>
      <c r="Y17" s="10" t="s">
        <v>6</v>
      </c>
    </row>
    <row r="18" spans="2:28" ht="15" x14ac:dyDescent="0.25">
      <c r="B18" s="97" t="str">
        <f>IF($O$9="","",IF(ISBLANK(VLOOKUP(CONCATENATE($O$9,"F6"),$P$10:$U$57,2,0)),"",VLOOKUP(CONCATENATE($O$9,"F6"),$P$10:$U$57,2,0)))</f>
        <v/>
      </c>
      <c r="C18" s="97" t="str">
        <f>IF($O$9="","",IF(ISBLANK(VLOOKUP(CONCATENATE($O$9,"F6"),$P$10:$U$57,2,0)),"",VLOOKUP(CONCATENATE($O$9,"F6"),$P$10:$U$57,3,0)))</f>
        <v/>
      </c>
      <c r="D18" s="92" t="s">
        <v>192</v>
      </c>
      <c r="E18" s="97" t="str">
        <f>IF($O$9="","",IF(ISBLANK(VLOOKUP(CONCATENATE($O$9,"F6"),$P$10:$U$57,2,0)),"",VLOOKUP(CONCATENATE($O$9,"F6"),$P$10:$U$57,4,0)))</f>
        <v/>
      </c>
      <c r="F18" s="98" t="str">
        <f>IF($O$9="","",IF(ISBLANK(VLOOKUP(CONCATENATE($O$9,"F6"),$P$10:$U$57,2,0)),"",VLOOKUP(CONCATENATE($O$9,"F6"),$P$10:$U$57,5,0)))</f>
        <v/>
      </c>
      <c r="H18" s="99">
        <v>27</v>
      </c>
      <c r="I18" s="342" t="s">
        <v>193</v>
      </c>
      <c r="J18" s="342"/>
      <c r="K18" s="342"/>
      <c r="L18" s="342"/>
      <c r="M18" s="100" t="str">
        <f>M17</f>
        <v/>
      </c>
      <c r="P18" s="6" t="s">
        <v>194</v>
      </c>
      <c r="Q18" s="92"/>
      <c r="R18" s="92"/>
      <c r="S18" s="92"/>
      <c r="T18" s="94"/>
      <c r="V18" s="7"/>
      <c r="W18" s="5" t="s">
        <v>90</v>
      </c>
      <c r="X18" s="10" t="s">
        <v>6</v>
      </c>
      <c r="Y18" s="10" t="s">
        <v>6</v>
      </c>
    </row>
    <row r="19" spans="2:28" ht="18.75" customHeight="1" x14ac:dyDescent="0.25">
      <c r="B19" s="97" t="str">
        <f>IF($O$9="","",IF(ISBLANK(VLOOKUP(CONCATENATE($O$9,"F7"),$P$10:$U$57,2,0)),"",VLOOKUP(CONCATENATE($O$9,"F7"),$P$10:$U$57,2,0)))</f>
        <v/>
      </c>
      <c r="C19" s="97" t="str">
        <f>IF($O$9="","",IF(ISBLANK(VLOOKUP(CONCATENATE($O$9,"F7"),$P$10:$U$57,2,0)),"",VLOOKUP(CONCATENATE($O$9,"F7"),$P$10:$U$57,3,0)))</f>
        <v/>
      </c>
      <c r="D19" s="92" t="s">
        <v>195</v>
      </c>
      <c r="E19" s="97" t="str">
        <f>IF($O$9="","",IF(ISBLANK(VLOOKUP(CONCATENATE($O$9,"F7"),$P$10:$U$57,2,0)),"",VLOOKUP(CONCATENATE($O$9,"F7"),$P$10:$U$57,4,0)))</f>
        <v/>
      </c>
      <c r="F19" s="98" t="str">
        <f>IF($O$9="","",IF(ISBLANK(VLOOKUP(CONCATENATE($O$9,"F7"),$P$10:$U$57,2,0)),"",VLOOKUP(CONCATENATE($O$9,"F7"),$P$10:$U$57,5,0)))</f>
        <v/>
      </c>
      <c r="I19" s="101" t="s">
        <v>196</v>
      </c>
      <c r="J19" s="102">
        <f>B10</f>
        <v>0</v>
      </c>
      <c r="K19" s="103"/>
      <c r="L19" s="104"/>
      <c r="M19" s="102">
        <f>C10</f>
        <v>0</v>
      </c>
      <c r="P19" s="6" t="s">
        <v>197</v>
      </c>
      <c r="Q19" s="92"/>
      <c r="R19" s="92"/>
      <c r="S19" s="92"/>
      <c r="T19" s="94"/>
      <c r="V19" s="7"/>
      <c r="W19" s="5" t="s">
        <v>95</v>
      </c>
      <c r="X19" s="10" t="s">
        <v>6</v>
      </c>
      <c r="Y19" s="10" t="s">
        <v>6</v>
      </c>
    </row>
    <row r="20" spans="2:28" ht="15" x14ac:dyDescent="0.25">
      <c r="B20" s="97" t="str">
        <f>IF($O$9="","",IF(ISBLANK(VLOOKUP(CONCATENATE($O$9,"F8"),$P$10:$U$57,2,0)),"",VLOOKUP(CONCATENATE($O$9,"F8"),$P$10:$U$57,2,0)))</f>
        <v/>
      </c>
      <c r="C20" s="97" t="str">
        <f>IF($O$9="","",IF(ISBLANK(VLOOKUP(CONCATENATE($O$9,"F8"),$P$10:$U$57,2,0)),"",VLOOKUP(CONCATENATE($O$9,"F8"),$P$10:$U$57,3,0)))</f>
        <v/>
      </c>
      <c r="D20" s="92" t="s">
        <v>198</v>
      </c>
      <c r="E20" s="97" t="str">
        <f>IF($O$9="","",IF(ISBLANK(VLOOKUP(CONCATENATE($O$9,"F8"),$P$10:$U$57,2,0)),"",VLOOKUP(CONCATENATE($O$9,"F8"),$P$10:$U$57,4,0)))</f>
        <v/>
      </c>
      <c r="F20" s="98" t="str">
        <f>IF($O$9="","",IF(ISBLANK(VLOOKUP(CONCATENATE($O$9,"F8"),$P$10:$U$57,2,0)),"",VLOOKUP(CONCATENATE($O$9,"F8"),$P$10:$U$57,5,0)))</f>
        <v/>
      </c>
      <c r="I20" s="101" t="s">
        <v>27</v>
      </c>
      <c r="J20" s="102" t="e">
        <f>M3</f>
        <v>#VALUE!</v>
      </c>
      <c r="K20" s="103" t="s">
        <v>199</v>
      </c>
      <c r="L20" s="105">
        <f>F10</f>
        <v>0</v>
      </c>
      <c r="M20" s="102" t="e">
        <f>M4</f>
        <v>#VALUE!</v>
      </c>
      <c r="P20" s="6" t="s">
        <v>200</v>
      </c>
      <c r="Q20" s="92"/>
      <c r="R20" s="92"/>
      <c r="S20" s="92"/>
      <c r="T20" s="94"/>
      <c r="V20" s="7"/>
      <c r="W20" s="5" t="s">
        <v>97</v>
      </c>
      <c r="X20" s="10" t="s">
        <v>6</v>
      </c>
      <c r="Y20" s="10" t="s">
        <v>6</v>
      </c>
    </row>
    <row r="21" spans="2:28" ht="18.75" customHeight="1" x14ac:dyDescent="0.25">
      <c r="B21" s="97" t="str">
        <f>IF($O$9="","",IF(ISBLANK(VLOOKUP(CONCATENATE($O$9,"F9"),$P$10:$U$57,2,0)),"",VLOOKUP(CONCATENATE($O$9,"F9"),$P$10:$U$57,2,0)))</f>
        <v/>
      </c>
      <c r="C21" s="97" t="str">
        <f>IF($O$9="","",IF(ISBLANK(VLOOKUP(CONCATENATE($O$9,"F9"),$P$10:$U$57,2,0)),"",VLOOKUP(CONCATENATE($O$9,"F9"),$P$10:$U$57,3,0)))</f>
        <v/>
      </c>
      <c r="D21" s="92" t="s">
        <v>201</v>
      </c>
      <c r="E21" s="97" t="str">
        <f>IF($O$9="","",IF(ISBLANK(VLOOKUP(CONCATENATE($O$9,"F9"),$P$10:$U$57,2,0)),"",VLOOKUP(CONCATENATE($O$9,"F9"),$P$10:$U$57,4,0)))</f>
        <v/>
      </c>
      <c r="F21" s="98" t="str">
        <f>IF($O$9="","",IF(ISBLANK(VLOOKUP(CONCATENATE($O$9,"F9"),$P$10:$U$57,2,0)),"",VLOOKUP(CONCATENATE($O$9,"F9"),$P$10:$U$57,5,0)))</f>
        <v/>
      </c>
      <c r="I21" s="343" t="s">
        <v>202</v>
      </c>
      <c r="J21" s="343"/>
      <c r="K21" s="343"/>
      <c r="L21" s="343"/>
      <c r="M21" s="102" t="e">
        <f>M5</f>
        <v>#VALUE!</v>
      </c>
      <c r="P21" s="6" t="s">
        <v>203</v>
      </c>
      <c r="Q21" s="92"/>
      <c r="R21" s="92"/>
      <c r="S21" s="92"/>
      <c r="T21" s="94"/>
      <c r="U21" s="7"/>
      <c r="V21" s="7"/>
      <c r="W21" s="5" t="s">
        <v>101</v>
      </c>
      <c r="X21" s="10" t="s">
        <v>7</v>
      </c>
      <c r="Y21" s="10" t="s">
        <v>7</v>
      </c>
    </row>
    <row r="22" spans="2:28" ht="18.75" customHeight="1" x14ac:dyDescent="0.25">
      <c r="B22" s="97" t="str">
        <f>IF($O$9="","",IF(ISBLANK(VLOOKUP(CONCATENATE($O$9,"F10"),$P$10:$U$57,2,0)),"",VLOOKUP(CONCATENATE($O$9,"F10"),$P$10:$U$57,2,0)))</f>
        <v/>
      </c>
      <c r="C22" s="97" t="str">
        <f>IF($O$9="","",IF(ISBLANK(VLOOKUP(CONCATENATE($O$9,"F10"),$P$10:$U$57,2,0)),"",VLOOKUP(CONCATENATE($O$9,"F10"),$P$10:$U$57,3,0)))</f>
        <v/>
      </c>
      <c r="D22" s="92" t="s">
        <v>204</v>
      </c>
      <c r="E22" s="97" t="str">
        <f>IF($O$9="","",IF(ISBLANK(VLOOKUP(CONCATENATE($O$9,"F10"),$P$10:$U$57,2,0)),"",VLOOKUP(CONCATENATE($O$9,"F10"),$P$10:$U$57,4,0)))</f>
        <v/>
      </c>
      <c r="F22" s="98" t="str">
        <f>IF($O$9="","",IF(ISBLANK(VLOOKUP(CONCATENATE($O$9,"F10"),$P$10:$U$57,2,0)),"",VLOOKUP(CONCATENATE($O$9,"F10"),$P$10:$U$57,5,0)))</f>
        <v/>
      </c>
      <c r="H22" s="63">
        <v>30</v>
      </c>
      <c r="I22" s="333" t="s">
        <v>205</v>
      </c>
      <c r="J22" s="333"/>
      <c r="K22" s="333"/>
      <c r="L22" s="333"/>
      <c r="M22" s="100" t="e">
        <f>M5</f>
        <v>#VALUE!</v>
      </c>
      <c r="P22" s="6" t="s">
        <v>206</v>
      </c>
      <c r="Q22" s="92"/>
      <c r="R22" s="92"/>
      <c r="S22" s="92"/>
      <c r="T22" s="94"/>
      <c r="U22" s="7"/>
      <c r="V22" s="7"/>
      <c r="W22" s="7"/>
      <c r="X22" s="7"/>
      <c r="Y22" s="7"/>
      <c r="Z22" s="7"/>
      <c r="AA22" s="7"/>
      <c r="AB22" s="7"/>
    </row>
    <row r="23" spans="2:28" ht="18.75" customHeight="1" x14ac:dyDescent="0.25">
      <c r="B23" s="97" t="str">
        <f>IF($O$9="","",IF(ISBLANK(VLOOKUP(CONCATENATE($O$9,"F11"),$P$10:$U$57,2,0)),"",VLOOKUP(CONCATENATE($O$9,"F11"),$P$10:$U$57,2,0)))</f>
        <v/>
      </c>
      <c r="C23" s="97" t="str">
        <f>IF($O$9="","",IF(ISBLANK(VLOOKUP(CONCATENATE($O$9,"F11"),$P$10:$U$57,2,0)),"",VLOOKUP(CONCATENATE($O$9,"F11"),$P$10:$U$57,3,0)))</f>
        <v/>
      </c>
      <c r="D23" s="92" t="s">
        <v>207</v>
      </c>
      <c r="E23" s="97" t="str">
        <f>IF($O$9="","",IF(ISBLANK(VLOOKUP(CONCATENATE($O$9,"F11"),$P$10:$U$57,2,0)),"",VLOOKUP(CONCATENATE($O$9,"F11"),$P$10:$U$57,4,0)))</f>
        <v/>
      </c>
      <c r="F23" s="98" t="str">
        <f>IF($O$9="","",IF(ISBLANK(VLOOKUP(CONCATENATE($O$9,"F11"),$P$10:$U$57,2,0)),"",VLOOKUP(CONCATENATE($O$9,"F11"),$P$10:$U$57,5,0)))</f>
        <v/>
      </c>
      <c r="H23" s="63">
        <v>31</v>
      </c>
      <c r="I23" s="342" t="s">
        <v>59</v>
      </c>
      <c r="J23" s="342"/>
      <c r="K23" s="342"/>
      <c r="L23" s="342"/>
      <c r="M23" s="106">
        <f>E7</f>
        <v>1</v>
      </c>
      <c r="P23" s="6" t="s">
        <v>208</v>
      </c>
      <c r="Q23" s="92"/>
      <c r="R23" s="92"/>
      <c r="S23" s="92"/>
      <c r="T23" s="94"/>
      <c r="U23" s="7"/>
      <c r="V23" s="7"/>
      <c r="W23" s="7"/>
      <c r="X23" s="7"/>
      <c r="Y23" s="7"/>
      <c r="Z23" s="7"/>
      <c r="AA23" s="7"/>
      <c r="AB23" s="7"/>
    </row>
    <row r="24" spans="2:28" ht="18.75" customHeight="1" x14ac:dyDescent="0.25">
      <c r="B24" s="97" t="str">
        <f>IF($O$9="","",IF(ISBLANK(VLOOKUP(CONCATENATE($O$9,"F12"),$P$10:$U$57,2,0)),"",VLOOKUP(CONCATENATE($O$9,"F12"),$P$10:$U$57,2,0)))</f>
        <v/>
      </c>
      <c r="C24" s="97" t="str">
        <f>IF($O$9="","",IF(ISBLANK(VLOOKUP(CONCATENATE($O$9,"F12"),$P$10:$U$57,2,0)),"",VLOOKUP(CONCATENATE($O$9,"F12"),$P$10:$U$57,3,0)))</f>
        <v/>
      </c>
      <c r="D24" s="92" t="s">
        <v>209</v>
      </c>
      <c r="E24" s="97" t="str">
        <f>IF($O$9="","",IF(ISBLANK(VLOOKUP(CONCATENATE($O$9,"F12"),$P$10:$U$57,2,0)),"",VLOOKUP(CONCATENATE($O$9,"F12"),$P$10:$U$57,4,0)))</f>
        <v/>
      </c>
      <c r="F24" s="98" t="str">
        <f>IF($O$9="","",IF(ISBLANK(VLOOKUP(CONCATENATE($O$9,"F12"),$P$10:$U$57,2,0)),"",VLOOKUP(CONCATENATE($O$9,"F12"),$P$10:$U$57,5,0)))</f>
        <v/>
      </c>
      <c r="H24" s="63">
        <v>32</v>
      </c>
      <c r="I24" s="342" t="s">
        <v>210</v>
      </c>
      <c r="J24" s="342"/>
      <c r="K24" s="342"/>
      <c r="L24" s="342"/>
      <c r="M24" s="100" t="e">
        <f>M6</f>
        <v>#VALUE!</v>
      </c>
      <c r="P24" s="6" t="s">
        <v>211</v>
      </c>
      <c r="Q24" s="92"/>
      <c r="R24" s="92"/>
      <c r="S24" s="92"/>
      <c r="T24" s="94"/>
      <c r="U24" s="7"/>
      <c r="V24" s="7"/>
      <c r="W24" s="7"/>
      <c r="X24" s="7"/>
      <c r="Y24" s="7"/>
      <c r="Z24" s="7"/>
      <c r="AA24" s="7"/>
      <c r="AB24" s="7"/>
    </row>
    <row r="25" spans="2:28" ht="18.75" customHeight="1" x14ac:dyDescent="0.25">
      <c r="B25" s="97" t="str">
        <f>IF($O$9="","",IF(ISBLANK(VLOOKUP(CONCATENATE($O$9,"F13"),$P$10:$U$57,2,0)),"",VLOOKUP(CONCATENATE($O$9,"F13"),$P$10:$U$57,2,0)))</f>
        <v/>
      </c>
      <c r="C25" s="97" t="str">
        <f>IF($O$9="","",IF(ISBLANK(VLOOKUP(CONCATENATE($O$9,"F13"),$P$10:$U$57,2,0)),"",VLOOKUP(CONCATENATE($O$9,"F13"),$P$10:$U$57,3,0)))</f>
        <v/>
      </c>
      <c r="D25" s="92" t="s">
        <v>212</v>
      </c>
      <c r="E25" s="97" t="str">
        <f>IF($O$9="","",IF(ISBLANK(VLOOKUP(CONCATENATE($O$9,"F13"),$P$10:$U$57,2,0)),"",VLOOKUP(CONCATENATE($O$9,"F13"),$P$10:$U$57,4,0)))</f>
        <v/>
      </c>
      <c r="F25" s="98" t="str">
        <f>IF($O$9="","",IF(ISBLANK(VLOOKUP(CONCATENATE($O$9,"F13"),$P$10:$U$57,2,0)),"",VLOOKUP(CONCATENATE($O$9,"F13"),$P$10:$U$57,5,0)))</f>
        <v/>
      </c>
      <c r="H25" s="63">
        <v>38</v>
      </c>
      <c r="I25" s="333" t="s">
        <v>213</v>
      </c>
      <c r="J25" s="333"/>
      <c r="K25" s="333"/>
      <c r="L25" s="333"/>
      <c r="M25" s="100" t="e">
        <f>I7</f>
        <v>#VALUE!</v>
      </c>
      <c r="P25" s="6" t="s">
        <v>214</v>
      </c>
      <c r="Q25" s="92"/>
      <c r="R25" s="92"/>
      <c r="S25" s="92"/>
      <c r="T25" s="94"/>
      <c r="U25" s="7"/>
      <c r="V25" s="7"/>
      <c r="W25" s="7"/>
      <c r="X25" s="7"/>
      <c r="Y25" s="7"/>
      <c r="Z25" s="7"/>
      <c r="AA25" s="7"/>
      <c r="AB25" s="7"/>
    </row>
    <row r="26" spans="2:28" ht="18.75" customHeight="1" x14ac:dyDescent="0.25">
      <c r="B26" s="97" t="str">
        <f>IF($O$9="","",IF(ISBLANK(VLOOKUP(CONCATENATE($O$9,"F14"),$P$10:$U$57,2,0)),"",VLOOKUP(CONCATENATE($O$9,"F14"),$P$10:$U$57,2,0)))</f>
        <v/>
      </c>
      <c r="C26" s="97" t="str">
        <f>IF($O$9="","",IF(ISBLANK(VLOOKUP(CONCATENATE($O$9,"F14"),$P$10:$U$57,2,0)),"",VLOOKUP(CONCATENATE($O$9,"F14"),$P$10:$U$57,3,0)))</f>
        <v/>
      </c>
      <c r="D26" s="92" t="s">
        <v>215</v>
      </c>
      <c r="E26" s="97" t="str">
        <f>IF($O$9="","",IF(ISBLANK(VLOOKUP(CONCATENATE($O$9,"F14"),$P$10:$U$57,2,0)),"",VLOOKUP(CONCATENATE($O$9,"F14"),$P$10:$U$57,4,0)))</f>
        <v/>
      </c>
      <c r="F26" s="98" t="str">
        <f>IF($O$9="","",IF(ISBLANK(VLOOKUP(CONCATENATE($O$9,"F14"),$P$10:$U$57,2,0)),"",VLOOKUP(CONCATENATE($O$9,"F14"),$P$10:$U$57,5,0)))</f>
        <v/>
      </c>
      <c r="P26" s="107" t="s">
        <v>216</v>
      </c>
      <c r="Q26" s="97">
        <v>0</v>
      </c>
      <c r="R26" s="97">
        <v>0</v>
      </c>
      <c r="S26" s="97">
        <v>200000</v>
      </c>
      <c r="T26" s="98">
        <v>0.05</v>
      </c>
      <c r="U26" s="107">
        <v>0.05</v>
      </c>
      <c r="V26" s="7"/>
      <c r="X26" s="7"/>
      <c r="Y26" s="7"/>
      <c r="Z26" s="7"/>
      <c r="AA26" s="7"/>
      <c r="AB26" s="7"/>
    </row>
    <row r="27" spans="2:28" ht="18.75" customHeight="1" x14ac:dyDescent="0.25">
      <c r="B27" s="97" t="str">
        <f>IF($O$9="","",IF(ISBLANK(VLOOKUP(CONCATENATE($O$9,"F15"),$P$10:$U$57,2,0)),"",VLOOKUP(CONCATENATE($O$9,"F15"),$P$10:$U$57,2,0)))</f>
        <v/>
      </c>
      <c r="C27" s="97" t="str">
        <f>IF($O$9="","",IF(ISBLANK(VLOOKUP(CONCATENATE($O$9,"F15"),$P$10:$U$57,2,0)),"",VLOOKUP(CONCATENATE($O$9,"F15"),$P$10:$U$57,3,0)))</f>
        <v/>
      </c>
      <c r="D27" s="92" t="s">
        <v>217</v>
      </c>
      <c r="E27" s="97" t="str">
        <f>IF($O$9="","",IF(ISBLANK(VLOOKUP(CONCATENATE($O$9,"F15"),$P$10:$U$57,2,0)),"",VLOOKUP(CONCATENATE($O$9,"F15"),$P$10:$U$57,4,0)))</f>
        <v/>
      </c>
      <c r="F27" s="98" t="str">
        <f>IF($O$9="","",IF(ISBLANK(VLOOKUP(CONCATENATE($O$9,"F15"),$P$10:$U$57,2,0)),"",VLOOKUP(CONCATENATE($O$9,"F15"),$P$10:$U$57,5,0)))</f>
        <v/>
      </c>
      <c r="P27" s="107" t="s">
        <v>218</v>
      </c>
      <c r="Q27" s="97">
        <v>200000</v>
      </c>
      <c r="R27" s="97">
        <v>10000</v>
      </c>
      <c r="S27" s="97">
        <v>400000</v>
      </c>
      <c r="T27" s="98">
        <v>7.0000000000000007E-2</v>
      </c>
      <c r="U27" s="107">
        <v>7.0000000000000007E-2</v>
      </c>
      <c r="V27" s="7"/>
      <c r="X27" s="7"/>
      <c r="Y27" s="7"/>
      <c r="Z27" s="7"/>
      <c r="AA27" s="7"/>
      <c r="AB27" s="7"/>
    </row>
    <row r="28" spans="2:28" ht="18.75" customHeight="1" x14ac:dyDescent="0.25">
      <c r="B28" s="97" t="str">
        <f>IF($O$9="","",IF(ISBLANK(VLOOKUP(CONCATENATE($O$9,"F16"),$P$10:$U$57,2,0)),"",VLOOKUP(CONCATENATE($O$9,"F16"),$P$10:$U$57,2,0)))</f>
        <v/>
      </c>
      <c r="C28" s="97" t="str">
        <f>IF($O$9="","",IF(ISBLANK(VLOOKUP(CONCATENATE($O$9,"F16"),$P$10:$U$57,2,0)),"",VLOOKUP(CONCATENATE($O$9,"F16"),$P$10:$U$57,3,0)))</f>
        <v/>
      </c>
      <c r="D28" s="92" t="s">
        <v>219</v>
      </c>
      <c r="E28" s="97" t="str">
        <f>IF($O$9="","",IF(ISBLANK(VLOOKUP(CONCATENATE($O$9,"F16"),$P$10:$U$57,2,0)),"",VLOOKUP(CONCATENATE($O$9,"F16"),$P$10:$U$57,4,0)))</f>
        <v/>
      </c>
      <c r="F28" s="98" t="str">
        <f>IF($O$9="","",IF(ISBLANK(VLOOKUP(CONCATENATE($O$9,"F16"),$P$10:$U$57,2,0)),"",VLOOKUP(CONCATENATE($O$9,"F16"),$P$10:$U$57,5,0)))</f>
        <v/>
      </c>
      <c r="P28" s="107" t="s">
        <v>220</v>
      </c>
      <c r="Q28" s="97">
        <v>600000</v>
      </c>
      <c r="R28" s="97">
        <v>38000</v>
      </c>
      <c r="S28" s="97" t="s">
        <v>185</v>
      </c>
      <c r="T28" s="98">
        <v>0.09</v>
      </c>
      <c r="U28" s="108" t="s">
        <v>221</v>
      </c>
      <c r="V28" s="7"/>
      <c r="W28" s="7"/>
      <c r="X28" s="7"/>
      <c r="Y28" s="7"/>
      <c r="Z28" s="7"/>
      <c r="AA28" s="7"/>
      <c r="AB28" s="109"/>
    </row>
    <row r="29" spans="2:28" ht="18.75" customHeight="1" x14ac:dyDescent="0.25">
      <c r="P29" s="107" t="s">
        <v>222</v>
      </c>
      <c r="Q29" s="97"/>
      <c r="R29" s="97"/>
      <c r="S29" s="97"/>
      <c r="T29" s="98"/>
      <c r="U29" s="108"/>
      <c r="V29" s="7"/>
      <c r="W29" s="7"/>
      <c r="X29" s="7"/>
      <c r="Y29" s="7"/>
      <c r="Z29" s="7"/>
      <c r="AA29" s="7"/>
      <c r="AB29" s="109"/>
    </row>
    <row r="30" spans="2:28" ht="18.75" customHeight="1" x14ac:dyDescent="0.25">
      <c r="P30" s="107" t="s">
        <v>223</v>
      </c>
      <c r="Q30" s="97"/>
      <c r="R30" s="97"/>
      <c r="S30" s="97"/>
      <c r="T30" s="98"/>
      <c r="U30" s="108"/>
    </row>
    <row r="31" spans="2:28" ht="18.75" customHeight="1" x14ac:dyDescent="0.25">
      <c r="P31" s="107" t="s">
        <v>224</v>
      </c>
      <c r="Q31" s="97"/>
      <c r="R31" s="97"/>
      <c r="S31" s="97"/>
      <c r="T31" s="98"/>
      <c r="U31" s="107"/>
    </row>
    <row r="32" spans="2:28" ht="18.75" customHeight="1" x14ac:dyDescent="0.25">
      <c r="P32" s="107" t="s">
        <v>225</v>
      </c>
      <c r="Q32" s="97"/>
      <c r="R32" s="97"/>
      <c r="S32" s="97"/>
      <c r="T32" s="98"/>
      <c r="U32" s="107"/>
    </row>
    <row r="33" spans="15:21" ht="18.75" customHeight="1" x14ac:dyDescent="0.25">
      <c r="P33" s="107" t="s">
        <v>226</v>
      </c>
      <c r="Q33" s="97"/>
      <c r="R33" s="97"/>
      <c r="S33" s="97"/>
      <c r="T33" s="98"/>
      <c r="U33" s="107"/>
    </row>
    <row r="34" spans="15:21" ht="18.75" customHeight="1" x14ac:dyDescent="0.25">
      <c r="P34" s="107" t="s">
        <v>227</v>
      </c>
      <c r="Q34" s="97"/>
      <c r="R34" s="97"/>
      <c r="S34" s="97"/>
      <c r="T34" s="98"/>
      <c r="U34" s="107"/>
    </row>
    <row r="35" spans="15:21" ht="18.75" customHeight="1" x14ac:dyDescent="0.25">
      <c r="P35" s="107" t="s">
        <v>228</v>
      </c>
      <c r="Q35" s="97"/>
      <c r="R35" s="97"/>
      <c r="S35" s="97"/>
      <c r="T35" s="98"/>
      <c r="U35" s="107"/>
    </row>
    <row r="36" spans="15:21" ht="18.75" customHeight="1" x14ac:dyDescent="0.25">
      <c r="P36" s="107" t="s">
        <v>229</v>
      </c>
      <c r="Q36" s="97"/>
      <c r="R36" s="97"/>
      <c r="S36" s="97"/>
      <c r="T36" s="98"/>
      <c r="U36" s="107"/>
    </row>
    <row r="37" spans="15:21" ht="18.75" customHeight="1" x14ac:dyDescent="0.25">
      <c r="P37" s="107" t="s">
        <v>230</v>
      </c>
      <c r="Q37" s="97"/>
      <c r="R37" s="97"/>
      <c r="S37" s="97"/>
      <c r="T37" s="98"/>
      <c r="U37" s="107"/>
    </row>
    <row r="38" spans="15:21" ht="18.75" customHeight="1" x14ac:dyDescent="0.25">
      <c r="P38" s="107" t="s">
        <v>231</v>
      </c>
      <c r="Q38" s="97"/>
      <c r="R38" s="97"/>
      <c r="S38" s="97"/>
      <c r="T38" s="98"/>
      <c r="U38" s="107"/>
    </row>
    <row r="39" spans="15:21" ht="18.75" customHeight="1" x14ac:dyDescent="0.25">
      <c r="O39" s="10"/>
      <c r="P39" s="107" t="s">
        <v>232</v>
      </c>
      <c r="Q39" s="110"/>
      <c r="R39" s="97"/>
      <c r="S39" s="97"/>
      <c r="T39" s="98"/>
      <c r="U39" s="107"/>
    </row>
    <row r="40" spans="15:21" ht="18.75" customHeight="1" x14ac:dyDescent="0.25">
      <c r="O40" s="10"/>
      <c r="P40" s="107" t="s">
        <v>233</v>
      </c>
      <c r="Q40" s="110"/>
      <c r="R40" s="97"/>
      <c r="S40" s="97"/>
      <c r="T40" s="98"/>
      <c r="U40" s="107"/>
    </row>
    <row r="41" spans="15:21" ht="18.75" customHeight="1" x14ac:dyDescent="0.25">
      <c r="O41" s="10"/>
      <c r="P41" s="107" t="s">
        <v>234</v>
      </c>
      <c r="Q41" s="110"/>
      <c r="R41" s="97"/>
      <c r="S41" s="97"/>
      <c r="T41" s="98"/>
      <c r="U41" s="107"/>
    </row>
    <row r="42" spans="15:21" ht="18.75" customHeight="1" x14ac:dyDescent="0.25">
      <c r="O42" s="10"/>
      <c r="P42" s="6" t="s">
        <v>235</v>
      </c>
      <c r="Q42" s="111">
        <v>0</v>
      </c>
      <c r="R42" s="92">
        <v>0</v>
      </c>
      <c r="S42" s="92">
        <v>7993.46</v>
      </c>
      <c r="T42" s="94">
        <v>7.6499999999999999E-2</v>
      </c>
    </row>
    <row r="43" spans="15:21" ht="18.75" customHeight="1" x14ac:dyDescent="0.25">
      <c r="O43" s="10"/>
      <c r="P43" s="6" t="s">
        <v>236</v>
      </c>
      <c r="Q43" s="111">
        <v>7993.46</v>
      </c>
      <c r="R43" s="92">
        <v>611.5</v>
      </c>
      <c r="S43" s="92">
        <v>7987.45</v>
      </c>
      <c r="T43" s="94">
        <v>8.5000000000000006E-2</v>
      </c>
    </row>
    <row r="44" spans="15:21" ht="18.75" customHeight="1" x14ac:dyDescent="0.25">
      <c r="P44" s="6" t="s">
        <v>237</v>
      </c>
      <c r="Q44" s="92">
        <v>15980.91</v>
      </c>
      <c r="R44" s="92">
        <v>1290.43</v>
      </c>
      <c r="S44" s="92">
        <v>7987.45</v>
      </c>
      <c r="T44" s="94">
        <v>9.35E-2</v>
      </c>
    </row>
    <row r="45" spans="15:21" ht="18.75" customHeight="1" x14ac:dyDescent="0.25">
      <c r="P45" s="6" t="s">
        <v>238</v>
      </c>
      <c r="Q45" s="92">
        <v>23968.36</v>
      </c>
      <c r="R45" s="92">
        <v>2037.26</v>
      </c>
      <c r="S45" s="92">
        <v>7987.45</v>
      </c>
      <c r="T45" s="94">
        <v>0.10199999999999999</v>
      </c>
    </row>
    <row r="46" spans="15:21" ht="18.75" customHeight="1" x14ac:dyDescent="0.25">
      <c r="P46" s="6" t="s">
        <v>239</v>
      </c>
      <c r="Q46" s="92">
        <v>31955.81</v>
      </c>
      <c r="R46" s="92">
        <v>2851.98</v>
      </c>
      <c r="S46" s="92">
        <v>7987.45</v>
      </c>
      <c r="T46" s="94">
        <v>0.1105</v>
      </c>
    </row>
    <row r="47" spans="15:21" ht="18.75" customHeight="1" x14ac:dyDescent="0.25">
      <c r="P47" s="6" t="s">
        <v>240</v>
      </c>
      <c r="Q47" s="92">
        <v>39943.26</v>
      </c>
      <c r="R47" s="92">
        <v>3734.59</v>
      </c>
      <c r="S47" s="92">
        <v>7987.46</v>
      </c>
      <c r="T47" s="94">
        <v>0.11899999999999999</v>
      </c>
    </row>
    <row r="48" spans="15:21" ht="18.75" customHeight="1" x14ac:dyDescent="0.25">
      <c r="P48" s="6" t="s">
        <v>241</v>
      </c>
      <c r="Q48" s="92">
        <v>47930.720000000001</v>
      </c>
      <c r="R48" s="92">
        <v>4685.1000000000004</v>
      </c>
      <c r="S48" s="92">
        <v>7987.45</v>
      </c>
      <c r="T48" s="94">
        <v>0.1275</v>
      </c>
    </row>
    <row r="49" spans="16:20" ht="18.75" customHeight="1" x14ac:dyDescent="0.25">
      <c r="P49" s="6" t="s">
        <v>242</v>
      </c>
      <c r="Q49" s="92">
        <v>55918.17</v>
      </c>
      <c r="R49" s="92">
        <v>5703.5</v>
      </c>
      <c r="S49" s="92">
        <v>7987.45</v>
      </c>
      <c r="T49" s="94">
        <v>0.13600000000000001</v>
      </c>
    </row>
    <row r="50" spans="16:20" ht="18.75" customHeight="1" x14ac:dyDescent="0.25">
      <c r="P50" s="6" t="s">
        <v>243</v>
      </c>
      <c r="Q50" s="92">
        <v>63905.62</v>
      </c>
      <c r="R50" s="92">
        <v>6789.79</v>
      </c>
      <c r="S50" s="92">
        <v>7987.45</v>
      </c>
      <c r="T50" s="94">
        <v>0.14449999999999999</v>
      </c>
    </row>
    <row r="51" spans="16:20" ht="18.75" customHeight="1" x14ac:dyDescent="0.25">
      <c r="P51" s="6" t="s">
        <v>244</v>
      </c>
      <c r="Q51" s="92">
        <v>71893.070000000007</v>
      </c>
      <c r="R51" s="92">
        <v>7943.98</v>
      </c>
      <c r="S51" s="92">
        <v>7987.45</v>
      </c>
      <c r="T51" s="94">
        <v>0.153</v>
      </c>
    </row>
    <row r="52" spans="16:20" ht="18.75" customHeight="1" x14ac:dyDescent="0.25">
      <c r="P52" s="6" t="s">
        <v>245</v>
      </c>
      <c r="Q52" s="92">
        <v>79880.52</v>
      </c>
      <c r="R52" s="92">
        <v>9166.06</v>
      </c>
      <c r="S52" s="92">
        <v>39877.15</v>
      </c>
      <c r="T52" s="94">
        <v>0.1615</v>
      </c>
    </row>
    <row r="53" spans="16:20" ht="18.75" customHeight="1" x14ac:dyDescent="0.25">
      <c r="P53" s="6" t="s">
        <v>246</v>
      </c>
      <c r="Q53" s="92">
        <v>119757.67</v>
      </c>
      <c r="R53" s="92">
        <v>15606.22</v>
      </c>
      <c r="S53" s="92">
        <v>39877.160000000003</v>
      </c>
      <c r="T53" s="94">
        <v>0.187</v>
      </c>
    </row>
    <row r="54" spans="16:20" ht="18.75" customHeight="1" x14ac:dyDescent="0.25">
      <c r="P54" s="6" t="s">
        <v>247</v>
      </c>
      <c r="Q54" s="92">
        <v>159634.82999999999</v>
      </c>
      <c r="R54" s="92">
        <v>23063.25</v>
      </c>
      <c r="S54" s="92">
        <v>79754.3</v>
      </c>
      <c r="T54" s="94">
        <v>0.21249999999999999</v>
      </c>
    </row>
    <row r="55" spans="16:20" ht="18.75" customHeight="1" x14ac:dyDescent="0.25">
      <c r="P55" s="6" t="s">
        <v>248</v>
      </c>
      <c r="Q55" s="92">
        <v>239389.13</v>
      </c>
      <c r="R55" s="92">
        <v>40011.040000000001</v>
      </c>
      <c r="S55" s="92">
        <v>159388.41</v>
      </c>
      <c r="T55" s="94">
        <v>0.255</v>
      </c>
    </row>
    <row r="56" spans="16:20" ht="18.75" customHeight="1" x14ac:dyDescent="0.25">
      <c r="P56" s="6" t="s">
        <v>249</v>
      </c>
      <c r="Q56" s="92">
        <v>398777.54</v>
      </c>
      <c r="R56" s="92">
        <v>80655.08</v>
      </c>
      <c r="S56" s="92">
        <v>398777.54</v>
      </c>
      <c r="T56" s="94">
        <v>0.29749999999999999</v>
      </c>
    </row>
    <row r="57" spans="16:20" ht="18.75" customHeight="1" x14ac:dyDescent="0.25">
      <c r="P57" s="6" t="s">
        <v>250</v>
      </c>
      <c r="Q57" s="92">
        <v>797555.08</v>
      </c>
      <c r="R57" s="92">
        <v>199291.4</v>
      </c>
      <c r="S57" s="92" t="s">
        <v>185</v>
      </c>
      <c r="T57" s="94">
        <v>0.34</v>
      </c>
    </row>
  </sheetData>
  <sheetProtection sheet="1" selectLockedCells="1"/>
  <mergeCells count="19">
    <mergeCell ref="I25:L25"/>
    <mergeCell ref="I17:L17"/>
    <mergeCell ref="I18:L18"/>
    <mergeCell ref="I21:L21"/>
    <mergeCell ref="I22:L22"/>
    <mergeCell ref="I23:L23"/>
    <mergeCell ref="I24:L24"/>
    <mergeCell ref="I16:L16"/>
    <mergeCell ref="I2:L2"/>
    <mergeCell ref="Q2:T2"/>
    <mergeCell ref="I3:L3"/>
    <mergeCell ref="I4:L4"/>
    <mergeCell ref="I5:L5"/>
    <mergeCell ref="I6:L6"/>
    <mergeCell ref="I7:L7"/>
    <mergeCell ref="I9:M9"/>
    <mergeCell ref="I10:M12"/>
    <mergeCell ref="I14:M14"/>
    <mergeCell ref="I15:L15"/>
  </mergeCells>
  <conditionalFormatting sqref="B13:C28 E13:F28">
    <cfRule type="expression" dxfId="25" priority="13">
      <formula>IF($D13=$O$10,TRUE,FALSE)</formula>
    </cfRule>
  </conditionalFormatting>
  <conditionalFormatting sqref="E5">
    <cfRule type="expression" dxfId="24" priority="12">
      <formula>IF($C$5=$O$5,FALSE,TRUE)</formula>
    </cfRule>
  </conditionalFormatting>
  <conditionalFormatting sqref="B2 E2 B4:C4 E4 B6:C6 E6">
    <cfRule type="expression" dxfId="23" priority="11">
      <formula>IF($C$7="GRUPO III",TRUE,FALSE)</formula>
    </cfRule>
  </conditionalFormatting>
  <conditionalFormatting sqref="B2 E2 B4:C4 E4 B6:C6 E6">
    <cfRule type="expression" dxfId="22" priority="10">
      <formula>IF($C$7="GRUPO IV",TRUE,FALSE)</formula>
    </cfRule>
  </conditionalFormatting>
  <conditionalFormatting sqref="C7:E7">
    <cfRule type="expression" dxfId="21" priority="8">
      <formula>IF($C$7="GRUPO IV",TRUE,FALSE)</formula>
    </cfRule>
    <cfRule type="expression" dxfId="20" priority="9">
      <formula>IF($C$7="GRUPO III",TRUE,FALSE)</formula>
    </cfRule>
  </conditionalFormatting>
  <conditionalFormatting sqref="M7 I2 M2">
    <cfRule type="expression" dxfId="19" priority="6">
      <formula>IF($C$7="GRUPO IV",TRUE,FALSE)</formula>
    </cfRule>
    <cfRule type="expression" dxfId="18" priority="7">
      <formula>IF($C$7="GRUPO III",TRUE,FALSE)</formula>
    </cfRule>
  </conditionalFormatting>
  <conditionalFormatting sqref="M3:M6">
    <cfRule type="expression" dxfId="17" priority="4">
      <formula>IF($C$7="GRUPO IV",TRUE,FALSE)</formula>
    </cfRule>
    <cfRule type="expression" dxfId="16" priority="5">
      <formula>IF($C$7="GRUPO III",TRUE,FALSE)</formula>
    </cfRule>
  </conditionalFormatting>
  <conditionalFormatting sqref="I7">
    <cfRule type="expression" dxfId="15" priority="2">
      <formula>IF($C$7="GRUPO IV",TRUE,FALSE)</formula>
    </cfRule>
    <cfRule type="expression" dxfId="14" priority="3">
      <formula>IF($C$7="GRUPO III",TRUE,FALSE)</formula>
    </cfRule>
  </conditionalFormatting>
  <conditionalFormatting sqref="H14:M25">
    <cfRule type="expression" dxfId="13" priority="1">
      <formula>IF($C$5=$O$5,FALSE,TRUE)</formula>
    </cfRule>
  </conditionalFormatting>
  <dataValidations count="4">
    <dataValidation type="list" allowBlank="1" showInputMessage="1" showErrorMessage="1" sqref="C5">
      <formula1>$O$4:$O$6</formula1>
    </dataValidation>
    <dataValidation type="list" allowBlank="1" showInputMessage="1" showErrorMessage="1" sqref="E3">
      <formula1>$Q$4:$Q$7</formula1>
    </dataValidation>
    <dataValidation type="list" allowBlank="1" showInputMessage="1" showErrorMessage="1" sqref="E5">
      <formula1>$P$4:$P$5</formula1>
    </dataValidation>
    <dataValidation type="list" showInputMessage="1" showErrorMessage="1" errorTitle="Parentesco no encontrado" error="Por favor, seleccione un parentesco de la lista desplegable" sqref="B7">
      <formula1>$W$3:$W$21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7"/>
  <sheetViews>
    <sheetView workbookViewId="0">
      <selection activeCell="E5" sqref="E5"/>
    </sheetView>
  </sheetViews>
  <sheetFormatPr baseColWidth="10" defaultRowHeight="18.75" customHeight="1" x14ac:dyDescent="0.25"/>
  <cols>
    <col min="1" max="1" width="3.5703125" style="6" customWidth="1"/>
    <col min="2" max="2" width="41.5703125" style="6" customWidth="1"/>
    <col min="3" max="3" width="22.85546875" style="6" customWidth="1"/>
    <col min="4" max="4" width="22.42578125" style="6" hidden="1" customWidth="1"/>
    <col min="5" max="5" width="25.7109375" style="6" customWidth="1"/>
    <col min="6" max="6" width="17.140625" style="6" customWidth="1"/>
    <col min="7" max="8" width="3.5703125" style="6" customWidth="1"/>
    <col min="9" max="9" width="27.140625" style="6" customWidth="1"/>
    <col min="10" max="10" width="17.85546875" style="6" customWidth="1"/>
    <col min="11" max="11" width="5" style="88" customWidth="1"/>
    <col min="12" max="12" width="10" style="6" customWidth="1"/>
    <col min="13" max="13" width="17.85546875" style="6" customWidth="1"/>
    <col min="14" max="14" width="3.5703125" style="6" customWidth="1"/>
    <col min="15" max="15" width="27.7109375" style="6" hidden="1" customWidth="1"/>
    <col min="16" max="16" width="11.42578125" style="6" hidden="1" customWidth="1"/>
    <col min="17" max="17" width="26.42578125" style="6" hidden="1" customWidth="1"/>
    <col min="18" max="19" width="11.42578125" style="6" hidden="1" customWidth="1"/>
    <col min="20" max="20" width="17.140625" style="6" hidden="1" customWidth="1"/>
    <col min="21" max="21" width="12.85546875" style="6" hidden="1" customWidth="1"/>
    <col min="22" max="22" width="19.7109375" style="6" hidden="1" customWidth="1"/>
    <col min="23" max="23" width="42" style="6" hidden="1" customWidth="1"/>
    <col min="24" max="27" width="17.140625" style="6" hidden="1" customWidth="1"/>
    <col min="28" max="28" width="17.140625" style="6" customWidth="1"/>
    <col min="29" max="29" width="11.42578125" style="6" customWidth="1"/>
    <col min="30" max="16384" width="11.42578125" style="6"/>
  </cols>
  <sheetData>
    <row r="2" spans="2:28" ht="18.75" customHeight="1" x14ac:dyDescent="0.25">
      <c r="B2" s="77" t="s">
        <v>145</v>
      </c>
      <c r="D2" s="77" t="s">
        <v>146</v>
      </c>
      <c r="E2" s="77" t="s">
        <v>1</v>
      </c>
      <c r="I2" s="334" t="s">
        <v>147</v>
      </c>
      <c r="J2" s="335"/>
      <c r="K2" s="335"/>
      <c r="L2" s="336"/>
      <c r="M2" s="78" t="s">
        <v>148</v>
      </c>
      <c r="Q2" s="281" t="s">
        <v>2</v>
      </c>
      <c r="R2" s="282"/>
      <c r="S2" s="282"/>
      <c r="T2" s="282"/>
      <c r="W2" s="10" t="s">
        <v>36</v>
      </c>
      <c r="X2" s="10" t="s">
        <v>37</v>
      </c>
      <c r="Y2" s="10" t="s">
        <v>37</v>
      </c>
      <c r="AA2" s="7" t="s">
        <v>8</v>
      </c>
      <c r="AB2" s="7"/>
    </row>
    <row r="3" spans="2:28" ht="37.5" customHeight="1" x14ac:dyDescent="0.25">
      <c r="B3" s="79">
        <f ca="1">TODAY()</f>
        <v>44839</v>
      </c>
      <c r="D3" s="6">
        <f ca="1">IF(ISBLANK(B3),"",IF(DATE(YEAR(B3),MONTH(B3),DAY(B3))&gt;DATE(YEAR(T28),MONTH(T28),DAY(T28)),2,IF(DATE(YEAR(B3),MONTH(B3),DAY(B3))&gt;DATE(YEAR(U28),MONTH(U28),DAY(U28)),3,IF(DATE(YEAR(B3),MONTH(B3),DAY(B3))&gt;DATE(YEAR(#REF!),MONTH(#REF!),DAY(#REF!)),4,IF(DATE(YEAR(B3),MONTH(B3),DAY(B3))&gt;DATE(YEAR(#REF!),MONTH(#REF!),DAY(#REF!)),5,IF(DATE(YEAR(B3),MONTH(B3),DAY(B3))&gt;DATE(YEAR(#REF!),MONTH(#REF!),DAY(#REF!)),6,IF(DATE(YEAR(B3),MONTH(B3),DAY(B3))&gt;DATE(YEAR(#REF!),MONTH(#REF!),DAY(#REF!)),7,IF(DATE(YEAR(B3),MONTH(B3),DAY(B3))&gt;DATE(YEAR(#REF!),MONTH(#REF!),DAY(#REF!)),8,9))))))))</f>
        <v>2</v>
      </c>
      <c r="E3" s="80" t="s">
        <v>3</v>
      </c>
      <c r="I3" s="337" t="s">
        <v>149</v>
      </c>
      <c r="J3" s="282"/>
      <c r="K3" s="282"/>
      <c r="L3" s="282"/>
      <c r="M3" s="81">
        <f>B5-B10</f>
        <v>0</v>
      </c>
      <c r="O3" s="6" t="s">
        <v>150</v>
      </c>
      <c r="P3" s="6" t="s">
        <v>151</v>
      </c>
      <c r="Q3" s="112" t="s">
        <v>4</v>
      </c>
      <c r="R3" s="5" t="s">
        <v>5</v>
      </c>
      <c r="S3" s="5" t="s">
        <v>6</v>
      </c>
      <c r="T3" s="5" t="s">
        <v>7</v>
      </c>
      <c r="W3" s="5" t="s">
        <v>43</v>
      </c>
      <c r="X3" s="10" t="s">
        <v>44</v>
      </c>
      <c r="Y3" s="10" t="s">
        <v>5</v>
      </c>
      <c r="Z3" s="10" t="s">
        <v>5</v>
      </c>
      <c r="AA3" s="7" t="s">
        <v>11</v>
      </c>
      <c r="AB3" s="7"/>
    </row>
    <row r="4" spans="2:28" ht="18.75" customHeight="1" x14ac:dyDescent="0.25">
      <c r="B4" s="77" t="s">
        <v>152</v>
      </c>
      <c r="C4" s="77" t="s">
        <v>150</v>
      </c>
      <c r="E4" s="77" t="s">
        <v>153</v>
      </c>
      <c r="I4" s="338" t="s">
        <v>154</v>
      </c>
      <c r="J4" s="282"/>
      <c r="K4" s="282"/>
      <c r="L4" s="282"/>
      <c r="M4" s="81">
        <f>M3*F10</f>
        <v>0</v>
      </c>
      <c r="O4" s="6" t="s">
        <v>155</v>
      </c>
      <c r="P4" s="6" t="s">
        <v>156</v>
      </c>
      <c r="Q4" s="112" t="s">
        <v>3</v>
      </c>
      <c r="R4" s="112">
        <v>1</v>
      </c>
      <c r="S4" s="112">
        <v>1.5882000000000001</v>
      </c>
      <c r="T4" s="112">
        <v>2</v>
      </c>
      <c r="W4" s="5" t="s">
        <v>47</v>
      </c>
      <c r="X4" s="10" t="s">
        <v>48</v>
      </c>
      <c r="Y4" s="10" t="s">
        <v>5</v>
      </c>
      <c r="Z4" s="10" t="s">
        <v>6</v>
      </c>
      <c r="AA4" s="7" t="s">
        <v>16</v>
      </c>
      <c r="AB4" s="7"/>
    </row>
    <row r="5" spans="2:28" ht="37.5" customHeight="1" x14ac:dyDescent="0.25">
      <c r="B5" s="82">
        <f>'MODELO 650'!M35</f>
        <v>0</v>
      </c>
      <c r="C5" s="82" t="s">
        <v>157</v>
      </c>
      <c r="E5" s="82" t="str">
        <f>IF('MODELO 650'!O2="Causante SIN testamento","NO","SÍ")</f>
        <v>SÍ</v>
      </c>
      <c r="I5" s="338" t="s">
        <v>159</v>
      </c>
      <c r="J5" s="282"/>
      <c r="K5" s="282"/>
      <c r="L5" s="282"/>
      <c r="M5" s="81">
        <f>C10+M4</f>
        <v>0</v>
      </c>
      <c r="O5" s="6" t="s">
        <v>157</v>
      </c>
      <c r="P5" s="6" t="s">
        <v>158</v>
      </c>
      <c r="Q5" s="112" t="s">
        <v>160</v>
      </c>
      <c r="R5" s="112">
        <v>1</v>
      </c>
      <c r="S5" s="112">
        <v>1.6676</v>
      </c>
      <c r="T5" s="112">
        <v>2.1</v>
      </c>
      <c r="W5" s="5" t="s">
        <v>45</v>
      </c>
      <c r="X5" s="10" t="s">
        <v>48</v>
      </c>
      <c r="Y5" s="10" t="s">
        <v>5</v>
      </c>
      <c r="Z5" s="10" t="s">
        <v>7</v>
      </c>
      <c r="AA5" s="7" t="s">
        <v>20</v>
      </c>
      <c r="AB5" s="7"/>
    </row>
    <row r="6" spans="2:28" ht="18.75" customHeight="1" thickBot="1" x14ac:dyDescent="0.3">
      <c r="B6" s="77" t="s">
        <v>39</v>
      </c>
      <c r="C6" s="77" t="s">
        <v>161</v>
      </c>
      <c r="D6" s="77" t="s">
        <v>162</v>
      </c>
      <c r="E6" s="77" t="s">
        <v>163</v>
      </c>
      <c r="I6" s="338" t="s">
        <v>164</v>
      </c>
      <c r="J6" s="282"/>
      <c r="K6" s="282"/>
      <c r="L6" s="282"/>
      <c r="M6" s="83">
        <f>IF(B7="","",M5*E7)</f>
        <v>0</v>
      </c>
      <c r="O6" s="6" t="s">
        <v>165</v>
      </c>
      <c r="Q6" s="112" t="s">
        <v>166</v>
      </c>
      <c r="R6" s="112">
        <v>1</v>
      </c>
      <c r="S6" s="112">
        <v>1.7471000000000001</v>
      </c>
      <c r="T6" s="112">
        <v>2.2000000000000002</v>
      </c>
      <c r="W6" s="5" t="s">
        <v>51</v>
      </c>
      <c r="X6" s="10" t="s">
        <v>48</v>
      </c>
      <c r="Y6" s="10" t="s">
        <v>5</v>
      </c>
      <c r="AA6" s="7"/>
      <c r="AB6" s="7"/>
    </row>
    <row r="7" spans="2:28" ht="37.5" customHeight="1" thickBot="1" x14ac:dyDescent="0.3">
      <c r="B7" s="84" t="str">
        <f>VLOOKUP('MODELO 650'!M2,'MODELO 650'!C12:H21,2,0)</f>
        <v>Cónyuge</v>
      </c>
      <c r="C7" s="85" t="str">
        <f>IF(B7="","",VLOOKUP(B7,W3:X21,2,0))</f>
        <v>GRUPO II</v>
      </c>
      <c r="D7" s="85" t="str">
        <f>IF(B7="","",VLOOKUP(B7,W3:Y21,3,0))</f>
        <v>GRUPO I / II</v>
      </c>
      <c r="E7" s="85">
        <f>IF(B7="","",VLOOKUP(E3,Q4:T7,VLOOKUP(D7,Z3:AA5,2,0),0))</f>
        <v>1</v>
      </c>
      <c r="I7" s="339">
        <f>M6</f>
        <v>0</v>
      </c>
      <c r="J7" s="282"/>
      <c r="K7" s="282"/>
      <c r="L7" s="282"/>
      <c r="M7" s="86" t="s">
        <v>167</v>
      </c>
      <c r="Q7" s="112" t="s">
        <v>23</v>
      </c>
      <c r="R7" s="112">
        <v>1</v>
      </c>
      <c r="S7" s="112">
        <v>1.9058999999999999</v>
      </c>
      <c r="T7" s="112">
        <v>2.4</v>
      </c>
      <c r="W7" s="5" t="s">
        <v>53</v>
      </c>
      <c r="X7" s="10" t="s">
        <v>48</v>
      </c>
      <c r="Y7" s="10" t="s">
        <v>5</v>
      </c>
      <c r="AA7" s="7"/>
      <c r="AB7" s="7"/>
    </row>
    <row r="8" spans="2:28" ht="18.75" customHeight="1" x14ac:dyDescent="0.25">
      <c r="I8" s="87"/>
      <c r="W8" s="5" t="s">
        <v>55</v>
      </c>
      <c r="X8" s="10" t="s">
        <v>48</v>
      </c>
      <c r="Y8" s="10" t="s">
        <v>5</v>
      </c>
      <c r="AA8" s="7"/>
      <c r="AB8" s="7"/>
    </row>
    <row r="9" spans="2:28" ht="37.5" customHeight="1" x14ac:dyDescent="0.25">
      <c r="B9" s="89" t="s">
        <v>168</v>
      </c>
      <c r="C9" s="89" t="s">
        <v>169</v>
      </c>
      <c r="E9" s="89" t="s">
        <v>170</v>
      </c>
      <c r="F9" s="89" t="s">
        <v>171</v>
      </c>
      <c r="I9" s="279" t="s">
        <v>172</v>
      </c>
      <c r="J9" s="279"/>
      <c r="K9" s="335"/>
      <c r="L9" s="335"/>
      <c r="M9" s="335"/>
      <c r="O9" s="6" t="str">
        <f>IF(AND(D7="GRUPO I / II",C5=O5,E5="Sí"),"T2",IF(AND(D7="GRUPO I / II",OR(C5=O4,C5=O6,AND(C5=O5,E5="No"))),"T1","T3"))</f>
        <v>T2</v>
      </c>
      <c r="Q9" s="90" t="s">
        <v>168</v>
      </c>
      <c r="R9" s="90" t="s">
        <v>169</v>
      </c>
      <c r="S9" s="90" t="s">
        <v>170</v>
      </c>
      <c r="T9" s="90" t="s">
        <v>171</v>
      </c>
      <c r="W9" s="5" t="s">
        <v>57</v>
      </c>
      <c r="X9" s="10" t="s">
        <v>48</v>
      </c>
      <c r="Y9" s="10" t="s">
        <v>5</v>
      </c>
      <c r="AA9" s="7"/>
      <c r="AB9" s="7"/>
    </row>
    <row r="10" spans="2:28" ht="18.75" customHeight="1" x14ac:dyDescent="0.25">
      <c r="B10" s="91">
        <f>IF($O$11="","",VLOOKUP($O$11,$P$10:$U$57,2,0))</f>
        <v>0</v>
      </c>
      <c r="C10" s="91">
        <f>IF($O$11="","",VLOOKUP($O$11,$P$10:$U$57,3,0))</f>
        <v>0</v>
      </c>
      <c r="D10" s="92"/>
      <c r="E10" s="91">
        <f>IF($O$11="","",VLOOKUP($O$11,$P$10:$U$57,4,0))</f>
        <v>200000</v>
      </c>
      <c r="F10" s="93">
        <f>IF($O$11="","",VLOOKUP($O$11,$P$10:$U$57,5,0))</f>
        <v>0.05</v>
      </c>
      <c r="I10" s="296" t="s">
        <v>173</v>
      </c>
      <c r="J10" s="298"/>
      <c r="K10" s="298"/>
      <c r="L10" s="298"/>
      <c r="M10" s="298"/>
      <c r="O10" s="6" t="str">
        <f>IF(B5&lt;B14,"F1",IF(B5&lt;B15,"F2",IF(B5&lt;B16,"F3",IF(B5&lt;B17,"F4",IF(B5&lt;B18,"F5",IF(B5&lt;B19,"F6",IF(B5&lt;B20,"F7",IF(B5&lt;B21,"F8",IF(B5&lt;B22,"F9",IF(B5&lt;B23,"F10",IF(B5&lt;B24,"F11",IF(B5&lt;B25,"F12",IF(B5&lt;B26,"F13",IF(B5&lt;B27,"F14",IF(B5&lt;B28,"F15","F16")))))))))))))))</f>
        <v>F1</v>
      </c>
      <c r="P10" s="6" t="s">
        <v>174</v>
      </c>
      <c r="Q10" s="92">
        <v>0</v>
      </c>
      <c r="R10" s="92">
        <v>0</v>
      </c>
      <c r="S10" s="92">
        <v>50000</v>
      </c>
      <c r="T10" s="94">
        <v>0.05</v>
      </c>
      <c r="U10" s="6">
        <v>0.05</v>
      </c>
      <c r="W10" s="5" t="s">
        <v>60</v>
      </c>
      <c r="X10" s="10" t="s">
        <v>48</v>
      </c>
      <c r="Y10" s="10" t="s">
        <v>5</v>
      </c>
      <c r="AA10" s="7"/>
      <c r="AB10" s="7"/>
    </row>
    <row r="11" spans="2:28" ht="18.75" customHeight="1" x14ac:dyDescent="0.25">
      <c r="E11" s="95"/>
      <c r="F11" s="96"/>
      <c r="I11" s="298"/>
      <c r="J11" s="298"/>
      <c r="K11" s="298"/>
      <c r="L11" s="298"/>
      <c r="M11" s="298"/>
      <c r="O11" s="6" t="str">
        <f>CONCATENATE(O9,O10)</f>
        <v>T2F1</v>
      </c>
      <c r="P11" s="6" t="s">
        <v>175</v>
      </c>
      <c r="Q11" s="92">
        <v>50000</v>
      </c>
      <c r="R11" s="92">
        <v>2500</v>
      </c>
      <c r="S11" s="92">
        <v>75000</v>
      </c>
      <c r="T11" s="94">
        <v>7.0000000000000007E-2</v>
      </c>
      <c r="U11" s="6">
        <v>7.0000000000000007E-2</v>
      </c>
      <c r="W11" s="5" t="s">
        <v>63</v>
      </c>
      <c r="X11" s="10" t="s">
        <v>48</v>
      </c>
      <c r="Y11" s="10" t="s">
        <v>5</v>
      </c>
      <c r="AA11" s="7"/>
      <c r="AB11" s="7"/>
    </row>
    <row r="12" spans="2:28" ht="37.5" customHeight="1" x14ac:dyDescent="0.25">
      <c r="B12" s="90" t="s">
        <v>168</v>
      </c>
      <c r="C12" s="90" t="s">
        <v>169</v>
      </c>
      <c r="E12" s="90" t="s">
        <v>170</v>
      </c>
      <c r="F12" s="90" t="s">
        <v>171</v>
      </c>
      <c r="I12" s="298"/>
      <c r="J12" s="298"/>
      <c r="K12" s="298"/>
      <c r="L12" s="298"/>
      <c r="M12" s="298"/>
      <c r="P12" s="95" t="s">
        <v>176</v>
      </c>
      <c r="Q12" s="92">
        <v>125000</v>
      </c>
      <c r="R12" s="92">
        <v>7750</v>
      </c>
      <c r="S12" s="92">
        <v>175000</v>
      </c>
      <c r="T12" s="94">
        <v>0.09</v>
      </c>
      <c r="U12" s="6">
        <v>0.09</v>
      </c>
      <c r="W12" s="5" t="s">
        <v>66</v>
      </c>
      <c r="X12" s="10" t="s">
        <v>48</v>
      </c>
      <c r="Y12" s="10" t="s">
        <v>5</v>
      </c>
      <c r="AA12" s="7"/>
      <c r="AB12" s="7"/>
    </row>
    <row r="13" spans="2:28" ht="18.75" customHeight="1" x14ac:dyDescent="0.25">
      <c r="B13" s="97">
        <f>IF($O$9="","",IF(ISBLANK(VLOOKUP(CONCATENATE($O$9,"F1"),$P$10:$U$57,2,0)),"",VLOOKUP(CONCATENATE($O$9,"F1"),$P$10:$U$57,2,0)))</f>
        <v>0</v>
      </c>
      <c r="C13" s="97">
        <f>IF($O$9="","",IF(ISBLANK(VLOOKUP(CONCATENATE($O$9,"F1"),$P$10:$U$57,2,0)),"",VLOOKUP(CONCATENATE($O$9,"F1"),$P$10:$U$57,3,0)))</f>
        <v>0</v>
      </c>
      <c r="D13" s="92" t="s">
        <v>177</v>
      </c>
      <c r="E13" s="97">
        <f>IF($O$9="","",IF(ISBLANK(VLOOKUP(CONCATENATE($O$9,"F1"),$P$10:$U$57,2,0)),"",VLOOKUP(CONCATENATE($O$9,"F1"),$P$10:$U$57,4,0)))</f>
        <v>200000</v>
      </c>
      <c r="F13" s="98">
        <f>IF($O$9="","",IF(ISBLANK(VLOOKUP(CONCATENATE($O$9,"F1"),$P$10:$U$57,2,0)),"",VLOOKUP(CONCATENATE($O$9,"F1"),$P$10:$U$57,5,0)))</f>
        <v>0.05</v>
      </c>
      <c r="I13" s="87"/>
      <c r="J13" s="87"/>
      <c r="O13" s="6" t="str">
        <f>IF(B5&lt;B14,"F1",IF(B5&lt;B15,"F2",IF(B5&lt;B16,"F3")))</f>
        <v>F1</v>
      </c>
      <c r="P13" s="6" t="s">
        <v>178</v>
      </c>
      <c r="Q13" s="92">
        <v>300000</v>
      </c>
      <c r="R13" s="92">
        <v>23500</v>
      </c>
      <c r="S13" s="92">
        <v>500000</v>
      </c>
      <c r="T13" s="94">
        <v>0.11</v>
      </c>
      <c r="U13" s="6">
        <v>0.11</v>
      </c>
      <c r="W13" s="5" t="s">
        <v>68</v>
      </c>
      <c r="X13" s="10" t="s">
        <v>6</v>
      </c>
      <c r="Y13" s="10" t="s">
        <v>6</v>
      </c>
    </row>
    <row r="14" spans="2:28" ht="18.75" customHeight="1" x14ac:dyDescent="0.25">
      <c r="B14" s="97">
        <f>IF($O$9="","",IF(ISBLANK(VLOOKUP(CONCATENATE($O$9,"F2"),$P$10:$U$57,2,0)),"",VLOOKUP(CONCATENATE($O$9,"F2"),$P$10:$U$57,2,0)))</f>
        <v>200000</v>
      </c>
      <c r="C14" s="97">
        <f>IF($O$9="","",IF(ISBLANK(VLOOKUP(CONCATENATE($O$9,"F2"),$P$10:$U$57,2,0)),"",VLOOKUP(CONCATENATE($O$9,"F2"),$P$10:$U$57,3,0)))</f>
        <v>10000</v>
      </c>
      <c r="D14" s="92" t="s">
        <v>179</v>
      </c>
      <c r="E14" s="97">
        <f>IF($O$9="","",IF(ISBLANK(VLOOKUP(CONCATENATE($O$9,"F2"),$P$10:$U$57,2,0)),"",VLOOKUP(CONCATENATE($O$9,"F2"),$P$10:$U$57,4,0)))</f>
        <v>400000</v>
      </c>
      <c r="F14" s="98">
        <f>IF($O$9="","",IF(ISBLANK(VLOOKUP(CONCATENATE($O$9,"F2"),$P$10:$U$57,2,0)),"",VLOOKUP(CONCATENATE($O$9,"F2"),$P$10:$U$57,5,0)))</f>
        <v>7.0000000000000007E-2</v>
      </c>
      <c r="I14" s="340" t="s">
        <v>180</v>
      </c>
      <c r="J14" s="340"/>
      <c r="K14" s="341"/>
      <c r="L14" s="341"/>
      <c r="M14" s="341"/>
      <c r="P14" s="6" t="s">
        <v>181</v>
      </c>
      <c r="Q14" s="92">
        <v>800000</v>
      </c>
      <c r="R14" s="92">
        <v>78500</v>
      </c>
      <c r="S14" s="92">
        <v>800000</v>
      </c>
      <c r="T14" s="94">
        <v>0.15</v>
      </c>
      <c r="U14" s="6">
        <v>0.15</v>
      </c>
      <c r="W14" s="5" t="s">
        <v>71</v>
      </c>
      <c r="X14" s="10" t="s">
        <v>6</v>
      </c>
      <c r="Y14" s="10" t="s">
        <v>6</v>
      </c>
    </row>
    <row r="15" spans="2:28" ht="18.75" customHeight="1" x14ac:dyDescent="0.25">
      <c r="B15" s="97">
        <f>IF($O$9="","",IF(ISBLANK(VLOOKUP(CONCATENATE($O$9,"F3"),$P$10:$U$57,2,0)),"",VLOOKUP(CONCATENATE($O$9,"F3"),$P$10:$U$57,2,0)))</f>
        <v>600000</v>
      </c>
      <c r="C15" s="97">
        <f>IF($O$9="","",IF(ISBLANK(VLOOKUP(CONCATENATE($O$9,"F3"),$P$10:$U$57,2,0)),"",VLOOKUP(CONCATENATE($O$9,"F3"),$P$10:$U$57,3,0)))</f>
        <v>38000</v>
      </c>
      <c r="D15" s="92" t="s">
        <v>182</v>
      </c>
      <c r="E15" s="97" t="str">
        <f>IF($O$9="","",IF(ISBLANK(VLOOKUP(CONCATENATE($O$9,"F3"),$P$10:$U$57,2,0)),"",VLOOKUP(CONCATENATE($O$9,"F3"),$P$10:$U$57,4,0)))</f>
        <v>En adelante</v>
      </c>
      <c r="F15" s="98">
        <f>IF($O$9="","",IF(ISBLANK(VLOOKUP(CONCATENATE($O$9,"F3"),$P$10:$U$57,2,0)),"",VLOOKUP(CONCATENATE($O$9,"F3"),$P$10:$U$57,5,0)))</f>
        <v>0.09</v>
      </c>
      <c r="H15" s="99">
        <v>1</v>
      </c>
      <c r="I15" s="342" t="s">
        <v>183</v>
      </c>
      <c r="J15" s="342"/>
      <c r="K15" s="342"/>
      <c r="L15" s="342"/>
      <c r="M15" s="100">
        <f>B5</f>
        <v>0</v>
      </c>
      <c r="P15" s="6" t="s">
        <v>184</v>
      </c>
      <c r="Q15" s="92">
        <v>1600000</v>
      </c>
      <c r="R15" s="92">
        <v>198500</v>
      </c>
      <c r="S15" s="92" t="s">
        <v>185</v>
      </c>
      <c r="T15" s="94">
        <v>0.18</v>
      </c>
      <c r="U15" s="6">
        <v>0.18</v>
      </c>
      <c r="W15" s="5" t="s">
        <v>75</v>
      </c>
      <c r="X15" s="10" t="s">
        <v>6</v>
      </c>
      <c r="Y15" s="10" t="s">
        <v>6</v>
      </c>
    </row>
    <row r="16" spans="2:28" ht="18.75" customHeight="1" x14ac:dyDescent="0.25">
      <c r="B16" s="97" t="str">
        <f>IF($O$9="","",IF(ISBLANK(VLOOKUP(CONCATENATE($O$9,"F4"),$P$10:$U$57,2,0)),"",VLOOKUP(CONCATENATE($O$9,"F4"),$P$10:$U$57,2,0)))</f>
        <v/>
      </c>
      <c r="C16" s="97" t="str">
        <f>IF($O$9="","",IF(ISBLANK(VLOOKUP(CONCATENATE($O$9,"F4"),$P$10:$U$57,2,0)),"",VLOOKUP(CONCATENATE($O$9,"F4"),$P$10:$U$57,3,0)))</f>
        <v/>
      </c>
      <c r="D16" s="92" t="s">
        <v>186</v>
      </c>
      <c r="E16" s="97" t="str">
        <f>IF($O$9="","",IF(ISBLANK(VLOOKUP(CONCATENATE($O$9,"F4"),$P$10:$U$57,2,0)),"",VLOOKUP(CONCATENATE($O$9,"F4"),$P$10:$U$57,4,0)))</f>
        <v/>
      </c>
      <c r="F16" s="98" t="str">
        <f>IF($O$9="","",IF(ISBLANK(VLOOKUP(CONCATENATE($O$9,"F4"),$P$10:$U$57,2,0)),"",VLOOKUP(CONCATENATE($O$9,"F4"),$P$10:$U$57,5,0)))</f>
        <v/>
      </c>
      <c r="H16" s="99">
        <v>11</v>
      </c>
      <c r="I16" s="333" t="s">
        <v>187</v>
      </c>
      <c r="J16" s="333"/>
      <c r="K16" s="333"/>
      <c r="L16" s="333"/>
      <c r="M16" s="100">
        <f>M15</f>
        <v>0</v>
      </c>
      <c r="P16" s="6" t="s">
        <v>188</v>
      </c>
      <c r="Q16" s="92"/>
      <c r="R16" s="92"/>
      <c r="S16" s="92"/>
      <c r="T16" s="94"/>
      <c r="W16" s="5" t="s">
        <v>80</v>
      </c>
      <c r="X16" s="10" t="s">
        <v>6</v>
      </c>
      <c r="Y16" s="10" t="s">
        <v>6</v>
      </c>
    </row>
    <row r="17" spans="2:28" ht="18.75" customHeight="1" x14ac:dyDescent="0.25">
      <c r="B17" s="97" t="str">
        <f>IF($O$9="","",IF(ISBLANK(VLOOKUP(CONCATENATE($O$9,"F5"),$P$10:$U$57,2,0)),"",VLOOKUP(CONCATENATE($O$9,"F5"),$P$10:$U$57,2,0)))</f>
        <v/>
      </c>
      <c r="C17" s="97" t="str">
        <f>IF($O$9="","",IF(ISBLANK(VLOOKUP(CONCATENATE($O$9,"F5"),$P$10:$U$57,2,0)),"",VLOOKUP(CONCATENATE($O$9,"F5"),$P$10:$U$57,3,0)))</f>
        <v/>
      </c>
      <c r="D17" s="92" t="s">
        <v>189</v>
      </c>
      <c r="E17" s="97" t="str">
        <f>IF($O$9="","",IF(ISBLANK(VLOOKUP(CONCATENATE($O$9,"F5"),$P$10:$U$57,2,0)),"",VLOOKUP(CONCATENATE($O$9,"F5"),$P$10:$U$57,4,0)))</f>
        <v/>
      </c>
      <c r="F17" s="98" t="str">
        <f>IF($O$9="","",IF(ISBLANK(VLOOKUP(CONCATENATE($O$9,"F5"),$P$10:$U$57,2,0)),"",VLOOKUP(CONCATENATE($O$9,"F5"),$P$10:$U$57,5,0)))</f>
        <v/>
      </c>
      <c r="H17" s="99">
        <v>23</v>
      </c>
      <c r="I17" s="333" t="s">
        <v>190</v>
      </c>
      <c r="J17" s="333"/>
      <c r="K17" s="333"/>
      <c r="L17" s="333"/>
      <c r="M17" s="100">
        <f>M16</f>
        <v>0</v>
      </c>
      <c r="P17" s="6" t="s">
        <v>191</v>
      </c>
      <c r="Q17" s="92"/>
      <c r="R17" s="92"/>
      <c r="S17" s="92"/>
      <c r="T17" s="94"/>
      <c r="W17" s="5" t="s">
        <v>85</v>
      </c>
      <c r="X17" s="10" t="s">
        <v>6</v>
      </c>
      <c r="Y17" s="10" t="s">
        <v>6</v>
      </c>
    </row>
    <row r="18" spans="2:28" ht="15" x14ac:dyDescent="0.25">
      <c r="B18" s="97" t="str">
        <f>IF($O$9="","",IF(ISBLANK(VLOOKUP(CONCATENATE($O$9,"F6"),$P$10:$U$57,2,0)),"",VLOOKUP(CONCATENATE($O$9,"F6"),$P$10:$U$57,2,0)))</f>
        <v/>
      </c>
      <c r="C18" s="97" t="str">
        <f>IF($O$9="","",IF(ISBLANK(VLOOKUP(CONCATENATE($O$9,"F6"),$P$10:$U$57,2,0)),"",VLOOKUP(CONCATENATE($O$9,"F6"),$P$10:$U$57,3,0)))</f>
        <v/>
      </c>
      <c r="D18" s="92" t="s">
        <v>192</v>
      </c>
      <c r="E18" s="97" t="str">
        <f>IF($O$9="","",IF(ISBLANK(VLOOKUP(CONCATENATE($O$9,"F6"),$P$10:$U$57,2,0)),"",VLOOKUP(CONCATENATE($O$9,"F6"),$P$10:$U$57,4,0)))</f>
        <v/>
      </c>
      <c r="F18" s="98" t="str">
        <f>IF($O$9="","",IF(ISBLANK(VLOOKUP(CONCATENATE($O$9,"F6"),$P$10:$U$57,2,0)),"",VLOOKUP(CONCATENATE($O$9,"F6"),$P$10:$U$57,5,0)))</f>
        <v/>
      </c>
      <c r="H18" s="99">
        <v>27</v>
      </c>
      <c r="I18" s="342" t="s">
        <v>193</v>
      </c>
      <c r="J18" s="342"/>
      <c r="K18" s="342"/>
      <c r="L18" s="342"/>
      <c r="M18" s="100">
        <f>M17</f>
        <v>0</v>
      </c>
      <c r="P18" s="6" t="s">
        <v>194</v>
      </c>
      <c r="Q18" s="92"/>
      <c r="R18" s="92"/>
      <c r="S18" s="92"/>
      <c r="T18" s="94"/>
      <c r="V18" s="7"/>
      <c r="W18" s="5" t="s">
        <v>90</v>
      </c>
      <c r="X18" s="10" t="s">
        <v>6</v>
      </c>
      <c r="Y18" s="10" t="s">
        <v>6</v>
      </c>
    </row>
    <row r="19" spans="2:28" ht="18.75" customHeight="1" x14ac:dyDescent="0.25">
      <c r="B19" s="97" t="str">
        <f>IF($O$9="","",IF(ISBLANK(VLOOKUP(CONCATENATE($O$9,"F7"),$P$10:$U$57,2,0)),"",VLOOKUP(CONCATENATE($O$9,"F7"),$P$10:$U$57,2,0)))</f>
        <v/>
      </c>
      <c r="C19" s="97" t="str">
        <f>IF($O$9="","",IF(ISBLANK(VLOOKUP(CONCATENATE($O$9,"F7"),$P$10:$U$57,2,0)),"",VLOOKUP(CONCATENATE($O$9,"F7"),$P$10:$U$57,3,0)))</f>
        <v/>
      </c>
      <c r="D19" s="92" t="s">
        <v>195</v>
      </c>
      <c r="E19" s="97" t="str">
        <f>IF($O$9="","",IF(ISBLANK(VLOOKUP(CONCATENATE($O$9,"F7"),$P$10:$U$57,2,0)),"",VLOOKUP(CONCATENATE($O$9,"F7"),$P$10:$U$57,4,0)))</f>
        <v/>
      </c>
      <c r="F19" s="98" t="str">
        <f>IF($O$9="","",IF(ISBLANK(VLOOKUP(CONCATENATE($O$9,"F7"),$P$10:$U$57,2,0)),"",VLOOKUP(CONCATENATE($O$9,"F7"),$P$10:$U$57,5,0)))</f>
        <v/>
      </c>
      <c r="I19" s="101" t="s">
        <v>196</v>
      </c>
      <c r="J19" s="102">
        <f>B10</f>
        <v>0</v>
      </c>
      <c r="K19" s="103"/>
      <c r="L19" s="104"/>
      <c r="M19" s="102">
        <f>C10</f>
        <v>0</v>
      </c>
      <c r="P19" s="6" t="s">
        <v>197</v>
      </c>
      <c r="Q19" s="92"/>
      <c r="R19" s="92"/>
      <c r="S19" s="92"/>
      <c r="T19" s="94"/>
      <c r="V19" s="7"/>
      <c r="W19" s="5" t="s">
        <v>95</v>
      </c>
      <c r="X19" s="10" t="s">
        <v>6</v>
      </c>
      <c r="Y19" s="10" t="s">
        <v>6</v>
      </c>
    </row>
    <row r="20" spans="2:28" ht="15" x14ac:dyDescent="0.25">
      <c r="B20" s="97" t="str">
        <f>IF($O$9="","",IF(ISBLANK(VLOOKUP(CONCATENATE($O$9,"F8"),$P$10:$U$57,2,0)),"",VLOOKUP(CONCATENATE($O$9,"F8"),$P$10:$U$57,2,0)))</f>
        <v/>
      </c>
      <c r="C20" s="97" t="str">
        <f>IF($O$9="","",IF(ISBLANK(VLOOKUP(CONCATENATE($O$9,"F8"),$P$10:$U$57,2,0)),"",VLOOKUP(CONCATENATE($O$9,"F8"),$P$10:$U$57,3,0)))</f>
        <v/>
      </c>
      <c r="D20" s="92" t="s">
        <v>198</v>
      </c>
      <c r="E20" s="97" t="str">
        <f>IF($O$9="","",IF(ISBLANK(VLOOKUP(CONCATENATE($O$9,"F8"),$P$10:$U$57,2,0)),"",VLOOKUP(CONCATENATE($O$9,"F8"),$P$10:$U$57,4,0)))</f>
        <v/>
      </c>
      <c r="F20" s="98" t="str">
        <f>IF($O$9="","",IF(ISBLANK(VLOOKUP(CONCATENATE($O$9,"F8"),$P$10:$U$57,2,0)),"",VLOOKUP(CONCATENATE($O$9,"F8"),$P$10:$U$57,5,0)))</f>
        <v/>
      </c>
      <c r="I20" s="101" t="s">
        <v>27</v>
      </c>
      <c r="J20" s="102">
        <f>M3</f>
        <v>0</v>
      </c>
      <c r="K20" s="103" t="s">
        <v>199</v>
      </c>
      <c r="L20" s="105">
        <f>F10</f>
        <v>0.05</v>
      </c>
      <c r="M20" s="102">
        <f>M4</f>
        <v>0</v>
      </c>
      <c r="P20" s="6" t="s">
        <v>200</v>
      </c>
      <c r="Q20" s="92"/>
      <c r="R20" s="92"/>
      <c r="S20" s="92"/>
      <c r="T20" s="94"/>
      <c r="V20" s="7"/>
      <c r="W20" s="5" t="s">
        <v>97</v>
      </c>
      <c r="X20" s="10" t="s">
        <v>6</v>
      </c>
      <c r="Y20" s="10" t="s">
        <v>6</v>
      </c>
    </row>
    <row r="21" spans="2:28" ht="18.75" customHeight="1" x14ac:dyDescent="0.25">
      <c r="B21" s="97" t="str">
        <f>IF($O$9="","",IF(ISBLANK(VLOOKUP(CONCATENATE($O$9,"F9"),$P$10:$U$57,2,0)),"",VLOOKUP(CONCATENATE($O$9,"F9"),$P$10:$U$57,2,0)))</f>
        <v/>
      </c>
      <c r="C21" s="97" t="str">
        <f>IF($O$9="","",IF(ISBLANK(VLOOKUP(CONCATENATE($O$9,"F9"),$P$10:$U$57,2,0)),"",VLOOKUP(CONCATENATE($O$9,"F9"),$P$10:$U$57,3,0)))</f>
        <v/>
      </c>
      <c r="D21" s="92" t="s">
        <v>201</v>
      </c>
      <c r="E21" s="97" t="str">
        <f>IF($O$9="","",IF(ISBLANK(VLOOKUP(CONCATENATE($O$9,"F9"),$P$10:$U$57,2,0)),"",VLOOKUP(CONCATENATE($O$9,"F9"),$P$10:$U$57,4,0)))</f>
        <v/>
      </c>
      <c r="F21" s="98" t="str">
        <f>IF($O$9="","",IF(ISBLANK(VLOOKUP(CONCATENATE($O$9,"F9"),$P$10:$U$57,2,0)),"",VLOOKUP(CONCATENATE($O$9,"F9"),$P$10:$U$57,5,0)))</f>
        <v/>
      </c>
      <c r="I21" s="343" t="s">
        <v>202</v>
      </c>
      <c r="J21" s="343"/>
      <c r="K21" s="343"/>
      <c r="L21" s="343"/>
      <c r="M21" s="102">
        <f>M5</f>
        <v>0</v>
      </c>
      <c r="P21" s="6" t="s">
        <v>203</v>
      </c>
      <c r="Q21" s="92"/>
      <c r="R21" s="92"/>
      <c r="S21" s="92"/>
      <c r="T21" s="94"/>
      <c r="U21" s="7"/>
      <c r="V21" s="7"/>
      <c r="W21" s="5" t="s">
        <v>101</v>
      </c>
      <c r="X21" s="10" t="s">
        <v>7</v>
      </c>
      <c r="Y21" s="10" t="s">
        <v>7</v>
      </c>
    </row>
    <row r="22" spans="2:28" ht="18.75" customHeight="1" x14ac:dyDescent="0.25">
      <c r="B22" s="97" t="str">
        <f>IF($O$9="","",IF(ISBLANK(VLOOKUP(CONCATENATE($O$9,"F10"),$P$10:$U$57,2,0)),"",VLOOKUP(CONCATENATE($O$9,"F10"),$P$10:$U$57,2,0)))</f>
        <v/>
      </c>
      <c r="C22" s="97" t="str">
        <f>IF($O$9="","",IF(ISBLANK(VLOOKUP(CONCATENATE($O$9,"F10"),$P$10:$U$57,2,0)),"",VLOOKUP(CONCATENATE($O$9,"F10"),$P$10:$U$57,3,0)))</f>
        <v/>
      </c>
      <c r="D22" s="92" t="s">
        <v>204</v>
      </c>
      <c r="E22" s="97" t="str">
        <f>IF($O$9="","",IF(ISBLANK(VLOOKUP(CONCATENATE($O$9,"F10"),$P$10:$U$57,2,0)),"",VLOOKUP(CONCATENATE($O$9,"F10"),$P$10:$U$57,4,0)))</f>
        <v/>
      </c>
      <c r="F22" s="98" t="str">
        <f>IF($O$9="","",IF(ISBLANK(VLOOKUP(CONCATENATE($O$9,"F10"),$P$10:$U$57,2,0)),"",VLOOKUP(CONCATENATE($O$9,"F10"),$P$10:$U$57,5,0)))</f>
        <v/>
      </c>
      <c r="H22" s="112">
        <v>30</v>
      </c>
      <c r="I22" s="333" t="s">
        <v>205</v>
      </c>
      <c r="J22" s="333"/>
      <c r="K22" s="333"/>
      <c r="L22" s="333"/>
      <c r="M22" s="100">
        <f>M5</f>
        <v>0</v>
      </c>
      <c r="P22" s="6" t="s">
        <v>206</v>
      </c>
      <c r="Q22" s="92"/>
      <c r="R22" s="92"/>
      <c r="S22" s="92"/>
      <c r="T22" s="94"/>
      <c r="U22" s="7"/>
      <c r="V22" s="7"/>
      <c r="W22" s="7"/>
      <c r="X22" s="7"/>
      <c r="Y22" s="7"/>
      <c r="Z22" s="7"/>
      <c r="AA22" s="7"/>
      <c r="AB22" s="7"/>
    </row>
    <row r="23" spans="2:28" ht="18.75" customHeight="1" x14ac:dyDescent="0.25">
      <c r="B23" s="97" t="str">
        <f>IF($O$9="","",IF(ISBLANK(VLOOKUP(CONCATENATE($O$9,"F11"),$P$10:$U$57,2,0)),"",VLOOKUP(CONCATENATE($O$9,"F11"),$P$10:$U$57,2,0)))</f>
        <v/>
      </c>
      <c r="C23" s="97" t="str">
        <f>IF($O$9="","",IF(ISBLANK(VLOOKUP(CONCATENATE($O$9,"F11"),$P$10:$U$57,2,0)),"",VLOOKUP(CONCATENATE($O$9,"F11"),$P$10:$U$57,3,0)))</f>
        <v/>
      </c>
      <c r="D23" s="92" t="s">
        <v>207</v>
      </c>
      <c r="E23" s="97" t="str">
        <f>IF($O$9="","",IF(ISBLANK(VLOOKUP(CONCATENATE($O$9,"F11"),$P$10:$U$57,2,0)),"",VLOOKUP(CONCATENATE($O$9,"F11"),$P$10:$U$57,4,0)))</f>
        <v/>
      </c>
      <c r="F23" s="98" t="str">
        <f>IF($O$9="","",IF(ISBLANK(VLOOKUP(CONCATENATE($O$9,"F11"),$P$10:$U$57,2,0)),"",VLOOKUP(CONCATENATE($O$9,"F11"),$P$10:$U$57,5,0)))</f>
        <v/>
      </c>
      <c r="H23" s="112">
        <v>31</v>
      </c>
      <c r="I23" s="342" t="s">
        <v>59</v>
      </c>
      <c r="J23" s="342"/>
      <c r="K23" s="342"/>
      <c r="L23" s="342"/>
      <c r="M23" s="106">
        <f>E7</f>
        <v>1</v>
      </c>
      <c r="P23" s="6" t="s">
        <v>208</v>
      </c>
      <c r="Q23" s="92"/>
      <c r="R23" s="92"/>
      <c r="S23" s="92"/>
      <c r="T23" s="94"/>
      <c r="U23" s="7"/>
      <c r="V23" s="7"/>
      <c r="W23" s="7"/>
      <c r="X23" s="7"/>
      <c r="Y23" s="7"/>
      <c r="Z23" s="7"/>
      <c r="AA23" s="7"/>
      <c r="AB23" s="7"/>
    </row>
    <row r="24" spans="2:28" ht="18.75" customHeight="1" x14ac:dyDescent="0.25">
      <c r="B24" s="97" t="str">
        <f>IF($O$9="","",IF(ISBLANK(VLOOKUP(CONCATENATE($O$9,"F12"),$P$10:$U$57,2,0)),"",VLOOKUP(CONCATENATE($O$9,"F12"),$P$10:$U$57,2,0)))</f>
        <v/>
      </c>
      <c r="C24" s="97" t="str">
        <f>IF($O$9="","",IF(ISBLANK(VLOOKUP(CONCATENATE($O$9,"F12"),$P$10:$U$57,2,0)),"",VLOOKUP(CONCATENATE($O$9,"F12"),$P$10:$U$57,3,0)))</f>
        <v/>
      </c>
      <c r="D24" s="92" t="s">
        <v>209</v>
      </c>
      <c r="E24" s="97" t="str">
        <f>IF($O$9="","",IF(ISBLANK(VLOOKUP(CONCATENATE($O$9,"F12"),$P$10:$U$57,2,0)),"",VLOOKUP(CONCATENATE($O$9,"F12"),$P$10:$U$57,4,0)))</f>
        <v/>
      </c>
      <c r="F24" s="98" t="str">
        <f>IF($O$9="","",IF(ISBLANK(VLOOKUP(CONCATENATE($O$9,"F12"),$P$10:$U$57,2,0)),"",VLOOKUP(CONCATENATE($O$9,"F12"),$P$10:$U$57,5,0)))</f>
        <v/>
      </c>
      <c r="H24" s="112">
        <v>32</v>
      </c>
      <c r="I24" s="342" t="s">
        <v>210</v>
      </c>
      <c r="J24" s="342"/>
      <c r="K24" s="342"/>
      <c r="L24" s="342"/>
      <c r="M24" s="100">
        <f>M6</f>
        <v>0</v>
      </c>
      <c r="P24" s="6" t="s">
        <v>211</v>
      </c>
      <c r="Q24" s="92"/>
      <c r="R24" s="92"/>
      <c r="S24" s="92"/>
      <c r="T24" s="94"/>
      <c r="U24" s="7"/>
      <c r="V24" s="7"/>
      <c r="W24" s="7"/>
      <c r="X24" s="7"/>
      <c r="Y24" s="7"/>
      <c r="Z24" s="7"/>
      <c r="AA24" s="7"/>
      <c r="AB24" s="7"/>
    </row>
    <row r="25" spans="2:28" ht="18.75" customHeight="1" x14ac:dyDescent="0.25">
      <c r="B25" s="97" t="str">
        <f>IF($O$9="","",IF(ISBLANK(VLOOKUP(CONCATENATE($O$9,"F13"),$P$10:$U$57,2,0)),"",VLOOKUP(CONCATENATE($O$9,"F13"),$P$10:$U$57,2,0)))</f>
        <v/>
      </c>
      <c r="C25" s="97" t="str">
        <f>IF($O$9="","",IF(ISBLANK(VLOOKUP(CONCATENATE($O$9,"F13"),$P$10:$U$57,2,0)),"",VLOOKUP(CONCATENATE($O$9,"F13"),$P$10:$U$57,3,0)))</f>
        <v/>
      </c>
      <c r="D25" s="92" t="s">
        <v>212</v>
      </c>
      <c r="E25" s="97" t="str">
        <f>IF($O$9="","",IF(ISBLANK(VLOOKUP(CONCATENATE($O$9,"F13"),$P$10:$U$57,2,0)),"",VLOOKUP(CONCATENATE($O$9,"F13"),$P$10:$U$57,4,0)))</f>
        <v/>
      </c>
      <c r="F25" s="98" t="str">
        <f>IF($O$9="","",IF(ISBLANK(VLOOKUP(CONCATENATE($O$9,"F13"),$P$10:$U$57,2,0)),"",VLOOKUP(CONCATENATE($O$9,"F13"),$P$10:$U$57,5,0)))</f>
        <v/>
      </c>
      <c r="H25" s="112">
        <v>38</v>
      </c>
      <c r="I25" s="333" t="s">
        <v>213</v>
      </c>
      <c r="J25" s="333"/>
      <c r="K25" s="333"/>
      <c r="L25" s="333"/>
      <c r="M25" s="100">
        <f>I7</f>
        <v>0</v>
      </c>
      <c r="P25" s="6" t="s">
        <v>214</v>
      </c>
      <c r="Q25" s="92"/>
      <c r="R25" s="92"/>
      <c r="S25" s="92"/>
      <c r="T25" s="94"/>
      <c r="U25" s="7"/>
      <c r="V25" s="7"/>
      <c r="W25" s="7"/>
      <c r="X25" s="7"/>
      <c r="Y25" s="7"/>
      <c r="Z25" s="7"/>
      <c r="AA25" s="7"/>
      <c r="AB25" s="7"/>
    </row>
    <row r="26" spans="2:28" ht="18.75" customHeight="1" x14ac:dyDescent="0.25">
      <c r="B26" s="97" t="str">
        <f>IF($O$9="","",IF(ISBLANK(VLOOKUP(CONCATENATE($O$9,"F14"),$P$10:$U$57,2,0)),"",VLOOKUP(CONCATENATE($O$9,"F14"),$P$10:$U$57,2,0)))</f>
        <v/>
      </c>
      <c r="C26" s="97" t="str">
        <f>IF($O$9="","",IF(ISBLANK(VLOOKUP(CONCATENATE($O$9,"F14"),$P$10:$U$57,2,0)),"",VLOOKUP(CONCATENATE($O$9,"F14"),$P$10:$U$57,3,0)))</f>
        <v/>
      </c>
      <c r="D26" s="92" t="s">
        <v>215</v>
      </c>
      <c r="E26" s="97" t="str">
        <f>IF($O$9="","",IF(ISBLANK(VLOOKUP(CONCATENATE($O$9,"F14"),$P$10:$U$57,2,0)),"",VLOOKUP(CONCATENATE($O$9,"F14"),$P$10:$U$57,4,0)))</f>
        <v/>
      </c>
      <c r="F26" s="98" t="str">
        <f>IF($O$9="","",IF(ISBLANK(VLOOKUP(CONCATENATE($O$9,"F14"),$P$10:$U$57,2,0)),"",VLOOKUP(CONCATENATE($O$9,"F14"),$P$10:$U$57,5,0)))</f>
        <v/>
      </c>
      <c r="P26" s="107" t="s">
        <v>216</v>
      </c>
      <c r="Q26" s="97">
        <v>0</v>
      </c>
      <c r="R26" s="97">
        <v>0</v>
      </c>
      <c r="S26" s="97">
        <v>200000</v>
      </c>
      <c r="T26" s="98">
        <v>0.05</v>
      </c>
      <c r="U26" s="107">
        <v>0.05</v>
      </c>
      <c r="V26" s="7"/>
      <c r="X26" s="7"/>
      <c r="Y26" s="7"/>
      <c r="Z26" s="7"/>
      <c r="AA26" s="7"/>
      <c r="AB26" s="7"/>
    </row>
    <row r="27" spans="2:28" ht="18.75" customHeight="1" x14ac:dyDescent="0.25">
      <c r="B27" s="97" t="str">
        <f>IF($O$9="","",IF(ISBLANK(VLOOKUP(CONCATENATE($O$9,"F15"),$P$10:$U$57,2,0)),"",VLOOKUP(CONCATENATE($O$9,"F15"),$P$10:$U$57,2,0)))</f>
        <v/>
      </c>
      <c r="C27" s="97" t="str">
        <f>IF($O$9="","",IF(ISBLANK(VLOOKUP(CONCATENATE($O$9,"F15"),$P$10:$U$57,2,0)),"",VLOOKUP(CONCATENATE($O$9,"F15"),$P$10:$U$57,3,0)))</f>
        <v/>
      </c>
      <c r="D27" s="92" t="s">
        <v>217</v>
      </c>
      <c r="E27" s="97" t="str">
        <f>IF($O$9="","",IF(ISBLANK(VLOOKUP(CONCATENATE($O$9,"F15"),$P$10:$U$57,2,0)),"",VLOOKUP(CONCATENATE($O$9,"F15"),$P$10:$U$57,4,0)))</f>
        <v/>
      </c>
      <c r="F27" s="98" t="str">
        <f>IF($O$9="","",IF(ISBLANK(VLOOKUP(CONCATENATE($O$9,"F15"),$P$10:$U$57,2,0)),"",VLOOKUP(CONCATENATE($O$9,"F15"),$P$10:$U$57,5,0)))</f>
        <v/>
      </c>
      <c r="P27" s="107" t="s">
        <v>218</v>
      </c>
      <c r="Q27" s="97">
        <v>200000</v>
      </c>
      <c r="R27" s="97">
        <v>10000</v>
      </c>
      <c r="S27" s="97">
        <v>400000</v>
      </c>
      <c r="T27" s="98">
        <v>7.0000000000000007E-2</v>
      </c>
      <c r="U27" s="107">
        <v>7.0000000000000007E-2</v>
      </c>
      <c r="V27" s="7"/>
      <c r="X27" s="7"/>
      <c r="Y27" s="7"/>
      <c r="Z27" s="7"/>
      <c r="AA27" s="7"/>
      <c r="AB27" s="7"/>
    </row>
    <row r="28" spans="2:28" ht="18.75" customHeight="1" x14ac:dyDescent="0.25">
      <c r="B28" s="97" t="str">
        <f>IF($O$9="","",IF(ISBLANK(VLOOKUP(CONCATENATE($O$9,"F16"),$P$10:$U$57,2,0)),"",VLOOKUP(CONCATENATE($O$9,"F16"),$P$10:$U$57,2,0)))</f>
        <v/>
      </c>
      <c r="C28" s="97" t="str">
        <f>IF($O$9="","",IF(ISBLANK(VLOOKUP(CONCATENATE($O$9,"F16"),$P$10:$U$57,2,0)),"",VLOOKUP(CONCATENATE($O$9,"F16"),$P$10:$U$57,3,0)))</f>
        <v/>
      </c>
      <c r="D28" s="92" t="s">
        <v>219</v>
      </c>
      <c r="E28" s="97" t="str">
        <f>IF($O$9="","",IF(ISBLANK(VLOOKUP(CONCATENATE($O$9,"F16"),$P$10:$U$57,2,0)),"",VLOOKUP(CONCATENATE($O$9,"F16"),$P$10:$U$57,4,0)))</f>
        <v/>
      </c>
      <c r="F28" s="98" t="str">
        <f>IF($O$9="","",IF(ISBLANK(VLOOKUP(CONCATENATE($O$9,"F16"),$P$10:$U$57,2,0)),"",VLOOKUP(CONCATENATE($O$9,"F16"),$P$10:$U$57,5,0)))</f>
        <v/>
      </c>
      <c r="P28" s="107" t="s">
        <v>220</v>
      </c>
      <c r="Q28" s="97">
        <v>600000</v>
      </c>
      <c r="R28" s="97">
        <v>38000</v>
      </c>
      <c r="S28" s="97" t="s">
        <v>185</v>
      </c>
      <c r="T28" s="98">
        <v>0.09</v>
      </c>
      <c r="U28" s="108" t="s">
        <v>221</v>
      </c>
      <c r="V28" s="7"/>
      <c r="W28" s="7"/>
      <c r="X28" s="7"/>
      <c r="Y28" s="7"/>
      <c r="Z28" s="7"/>
      <c r="AA28" s="7"/>
      <c r="AB28" s="109"/>
    </row>
    <row r="29" spans="2:28" ht="18.75" customHeight="1" x14ac:dyDescent="0.25">
      <c r="P29" s="107" t="s">
        <v>222</v>
      </c>
      <c r="Q29" s="97"/>
      <c r="R29" s="97"/>
      <c r="S29" s="97"/>
      <c r="T29" s="98"/>
      <c r="U29" s="108"/>
      <c r="V29" s="7"/>
      <c r="W29" s="7"/>
      <c r="X29" s="7"/>
      <c r="Y29" s="7"/>
      <c r="Z29" s="7"/>
      <c r="AA29" s="7"/>
      <c r="AB29" s="109"/>
    </row>
    <row r="30" spans="2:28" ht="18.75" customHeight="1" x14ac:dyDescent="0.25">
      <c r="P30" s="107" t="s">
        <v>223</v>
      </c>
      <c r="Q30" s="97"/>
      <c r="R30" s="97"/>
      <c r="S30" s="97"/>
      <c r="T30" s="98"/>
      <c r="U30" s="108"/>
    </row>
    <row r="31" spans="2:28" ht="18.75" customHeight="1" x14ac:dyDescent="0.25">
      <c r="P31" s="107" t="s">
        <v>224</v>
      </c>
      <c r="Q31" s="97"/>
      <c r="R31" s="97"/>
      <c r="S31" s="97"/>
      <c r="T31" s="98"/>
      <c r="U31" s="107"/>
    </row>
    <row r="32" spans="2:28" ht="18.75" customHeight="1" x14ac:dyDescent="0.25">
      <c r="P32" s="107" t="s">
        <v>225</v>
      </c>
      <c r="Q32" s="97"/>
      <c r="R32" s="97"/>
      <c r="S32" s="97"/>
      <c r="T32" s="98"/>
      <c r="U32" s="107"/>
    </row>
    <row r="33" spans="15:21" ht="18.75" customHeight="1" x14ac:dyDescent="0.25">
      <c r="P33" s="107" t="s">
        <v>226</v>
      </c>
      <c r="Q33" s="97"/>
      <c r="R33" s="97"/>
      <c r="S33" s="97"/>
      <c r="T33" s="98"/>
      <c r="U33" s="107"/>
    </row>
    <row r="34" spans="15:21" ht="18.75" customHeight="1" x14ac:dyDescent="0.25">
      <c r="P34" s="107" t="s">
        <v>227</v>
      </c>
      <c r="Q34" s="97"/>
      <c r="R34" s="97"/>
      <c r="S34" s="97"/>
      <c r="T34" s="98"/>
      <c r="U34" s="107"/>
    </row>
    <row r="35" spans="15:21" ht="18.75" customHeight="1" x14ac:dyDescent="0.25">
      <c r="P35" s="107" t="s">
        <v>228</v>
      </c>
      <c r="Q35" s="97"/>
      <c r="R35" s="97"/>
      <c r="S35" s="97"/>
      <c r="T35" s="98"/>
      <c r="U35" s="107"/>
    </row>
    <row r="36" spans="15:21" ht="18.75" customHeight="1" x14ac:dyDescent="0.25">
      <c r="P36" s="107" t="s">
        <v>229</v>
      </c>
      <c r="Q36" s="97"/>
      <c r="R36" s="97"/>
      <c r="S36" s="97"/>
      <c r="T36" s="98"/>
      <c r="U36" s="107"/>
    </row>
    <row r="37" spans="15:21" ht="18.75" customHeight="1" x14ac:dyDescent="0.25">
      <c r="P37" s="107" t="s">
        <v>230</v>
      </c>
      <c r="Q37" s="97"/>
      <c r="R37" s="97"/>
      <c r="S37" s="97"/>
      <c r="T37" s="98"/>
      <c r="U37" s="107"/>
    </row>
    <row r="38" spans="15:21" ht="18.75" customHeight="1" x14ac:dyDescent="0.25">
      <c r="P38" s="107" t="s">
        <v>231</v>
      </c>
      <c r="Q38" s="97"/>
      <c r="R38" s="97"/>
      <c r="S38" s="97"/>
      <c r="T38" s="98"/>
      <c r="U38" s="107"/>
    </row>
    <row r="39" spans="15:21" ht="18.75" customHeight="1" x14ac:dyDescent="0.25">
      <c r="O39" s="10"/>
      <c r="P39" s="107" t="s">
        <v>232</v>
      </c>
      <c r="Q39" s="110"/>
      <c r="R39" s="97"/>
      <c r="S39" s="97"/>
      <c r="T39" s="98"/>
      <c r="U39" s="107"/>
    </row>
    <row r="40" spans="15:21" ht="18.75" customHeight="1" x14ac:dyDescent="0.25">
      <c r="O40" s="10"/>
      <c r="P40" s="107" t="s">
        <v>233</v>
      </c>
      <c r="Q40" s="110"/>
      <c r="R40" s="97"/>
      <c r="S40" s="97"/>
      <c r="T40" s="98"/>
      <c r="U40" s="107"/>
    </row>
    <row r="41" spans="15:21" ht="18.75" customHeight="1" x14ac:dyDescent="0.25">
      <c r="O41" s="10"/>
      <c r="P41" s="107" t="s">
        <v>234</v>
      </c>
      <c r="Q41" s="110"/>
      <c r="R41" s="97"/>
      <c r="S41" s="97"/>
      <c r="T41" s="98"/>
      <c r="U41" s="107"/>
    </row>
    <row r="42" spans="15:21" ht="18.75" customHeight="1" x14ac:dyDescent="0.25">
      <c r="O42" s="10"/>
      <c r="P42" s="6" t="s">
        <v>235</v>
      </c>
      <c r="Q42" s="111">
        <v>0</v>
      </c>
      <c r="R42" s="92">
        <v>0</v>
      </c>
      <c r="S42" s="92">
        <v>7993.46</v>
      </c>
      <c r="T42" s="94">
        <v>7.6499999999999999E-2</v>
      </c>
    </row>
    <row r="43" spans="15:21" ht="18.75" customHeight="1" x14ac:dyDescent="0.25">
      <c r="O43" s="10"/>
      <c r="P43" s="6" t="s">
        <v>236</v>
      </c>
      <c r="Q43" s="111">
        <v>7993.46</v>
      </c>
      <c r="R43" s="92">
        <v>611.5</v>
      </c>
      <c r="S43" s="92">
        <v>7987.45</v>
      </c>
      <c r="T43" s="94">
        <v>8.5000000000000006E-2</v>
      </c>
    </row>
    <row r="44" spans="15:21" ht="18.75" customHeight="1" x14ac:dyDescent="0.25">
      <c r="P44" s="6" t="s">
        <v>237</v>
      </c>
      <c r="Q44" s="92">
        <v>15980.91</v>
      </c>
      <c r="R44" s="92">
        <v>1290.43</v>
      </c>
      <c r="S44" s="92">
        <v>7987.45</v>
      </c>
      <c r="T44" s="94">
        <v>9.35E-2</v>
      </c>
    </row>
    <row r="45" spans="15:21" ht="18.75" customHeight="1" x14ac:dyDescent="0.25">
      <c r="P45" s="6" t="s">
        <v>238</v>
      </c>
      <c r="Q45" s="92">
        <v>23968.36</v>
      </c>
      <c r="R45" s="92">
        <v>2037.26</v>
      </c>
      <c r="S45" s="92">
        <v>7987.45</v>
      </c>
      <c r="T45" s="94">
        <v>0.10199999999999999</v>
      </c>
    </row>
    <row r="46" spans="15:21" ht="18.75" customHeight="1" x14ac:dyDescent="0.25">
      <c r="P46" s="6" t="s">
        <v>239</v>
      </c>
      <c r="Q46" s="92">
        <v>31955.81</v>
      </c>
      <c r="R46" s="92">
        <v>2851.98</v>
      </c>
      <c r="S46" s="92">
        <v>7987.45</v>
      </c>
      <c r="T46" s="94">
        <v>0.1105</v>
      </c>
    </row>
    <row r="47" spans="15:21" ht="18.75" customHeight="1" x14ac:dyDescent="0.25">
      <c r="P47" s="6" t="s">
        <v>240</v>
      </c>
      <c r="Q47" s="92">
        <v>39943.26</v>
      </c>
      <c r="R47" s="92">
        <v>3734.59</v>
      </c>
      <c r="S47" s="92">
        <v>7987.46</v>
      </c>
      <c r="T47" s="94">
        <v>0.11899999999999999</v>
      </c>
    </row>
    <row r="48" spans="15:21" ht="18.75" customHeight="1" x14ac:dyDescent="0.25">
      <c r="P48" s="6" t="s">
        <v>241</v>
      </c>
      <c r="Q48" s="92">
        <v>47930.720000000001</v>
      </c>
      <c r="R48" s="92">
        <v>4685.1000000000004</v>
      </c>
      <c r="S48" s="92">
        <v>7987.45</v>
      </c>
      <c r="T48" s="94">
        <v>0.1275</v>
      </c>
    </row>
    <row r="49" spans="16:20" ht="18.75" customHeight="1" x14ac:dyDescent="0.25">
      <c r="P49" s="6" t="s">
        <v>242</v>
      </c>
      <c r="Q49" s="92">
        <v>55918.17</v>
      </c>
      <c r="R49" s="92">
        <v>5703.5</v>
      </c>
      <c r="S49" s="92">
        <v>7987.45</v>
      </c>
      <c r="T49" s="94">
        <v>0.13600000000000001</v>
      </c>
    </row>
    <row r="50" spans="16:20" ht="18.75" customHeight="1" x14ac:dyDescent="0.25">
      <c r="P50" s="6" t="s">
        <v>243</v>
      </c>
      <c r="Q50" s="92">
        <v>63905.62</v>
      </c>
      <c r="R50" s="92">
        <v>6789.79</v>
      </c>
      <c r="S50" s="92">
        <v>7987.45</v>
      </c>
      <c r="T50" s="94">
        <v>0.14449999999999999</v>
      </c>
    </row>
    <row r="51" spans="16:20" ht="18.75" customHeight="1" x14ac:dyDescent="0.25">
      <c r="P51" s="6" t="s">
        <v>244</v>
      </c>
      <c r="Q51" s="92">
        <v>71893.070000000007</v>
      </c>
      <c r="R51" s="92">
        <v>7943.98</v>
      </c>
      <c r="S51" s="92">
        <v>7987.45</v>
      </c>
      <c r="T51" s="94">
        <v>0.153</v>
      </c>
    </row>
    <row r="52" spans="16:20" ht="18.75" customHeight="1" x14ac:dyDescent="0.25">
      <c r="P52" s="6" t="s">
        <v>245</v>
      </c>
      <c r="Q52" s="92">
        <v>79880.52</v>
      </c>
      <c r="R52" s="92">
        <v>9166.06</v>
      </c>
      <c r="S52" s="92">
        <v>39877.15</v>
      </c>
      <c r="T52" s="94">
        <v>0.1615</v>
      </c>
    </row>
    <row r="53" spans="16:20" ht="18.75" customHeight="1" x14ac:dyDescent="0.25">
      <c r="P53" s="6" t="s">
        <v>246</v>
      </c>
      <c r="Q53" s="92">
        <v>119757.67</v>
      </c>
      <c r="R53" s="92">
        <v>15606.22</v>
      </c>
      <c r="S53" s="92">
        <v>39877.160000000003</v>
      </c>
      <c r="T53" s="94">
        <v>0.187</v>
      </c>
    </row>
    <row r="54" spans="16:20" ht="18.75" customHeight="1" x14ac:dyDescent="0.25">
      <c r="P54" s="6" t="s">
        <v>247</v>
      </c>
      <c r="Q54" s="92">
        <v>159634.82999999999</v>
      </c>
      <c r="R54" s="92">
        <v>23063.25</v>
      </c>
      <c r="S54" s="92">
        <v>79754.3</v>
      </c>
      <c r="T54" s="94">
        <v>0.21249999999999999</v>
      </c>
    </row>
    <row r="55" spans="16:20" ht="18.75" customHeight="1" x14ac:dyDescent="0.25">
      <c r="P55" s="6" t="s">
        <v>248</v>
      </c>
      <c r="Q55" s="92">
        <v>239389.13</v>
      </c>
      <c r="R55" s="92">
        <v>40011.040000000001</v>
      </c>
      <c r="S55" s="92">
        <v>159388.41</v>
      </c>
      <c r="T55" s="94">
        <v>0.255</v>
      </c>
    </row>
    <row r="56" spans="16:20" ht="18.75" customHeight="1" x14ac:dyDescent="0.25">
      <c r="P56" s="6" t="s">
        <v>249</v>
      </c>
      <c r="Q56" s="92">
        <v>398777.54</v>
      </c>
      <c r="R56" s="92">
        <v>80655.08</v>
      </c>
      <c r="S56" s="92">
        <v>398777.54</v>
      </c>
      <c r="T56" s="94">
        <v>0.29749999999999999</v>
      </c>
    </row>
    <row r="57" spans="16:20" ht="18.75" customHeight="1" x14ac:dyDescent="0.25">
      <c r="P57" s="6" t="s">
        <v>250</v>
      </c>
      <c r="Q57" s="92">
        <v>797555.08</v>
      </c>
      <c r="R57" s="92">
        <v>199291.4</v>
      </c>
      <c r="S57" s="92" t="s">
        <v>185</v>
      </c>
      <c r="T57" s="94">
        <v>0.34</v>
      </c>
    </row>
  </sheetData>
  <sheetProtection sheet="1" selectLockedCells="1"/>
  <mergeCells count="19">
    <mergeCell ref="I25:L25"/>
    <mergeCell ref="I17:L17"/>
    <mergeCell ref="I18:L18"/>
    <mergeCell ref="I21:L21"/>
    <mergeCell ref="I22:L22"/>
    <mergeCell ref="I23:L23"/>
    <mergeCell ref="I24:L24"/>
    <mergeCell ref="I16:L16"/>
    <mergeCell ref="I2:L2"/>
    <mergeCell ref="Q2:T2"/>
    <mergeCell ref="I3:L3"/>
    <mergeCell ref="I4:L4"/>
    <mergeCell ref="I5:L5"/>
    <mergeCell ref="I6:L6"/>
    <mergeCell ref="I7:L7"/>
    <mergeCell ref="I9:M9"/>
    <mergeCell ref="I10:M12"/>
    <mergeCell ref="I14:M14"/>
    <mergeCell ref="I15:L15"/>
  </mergeCells>
  <conditionalFormatting sqref="B13:C28 E13:F28">
    <cfRule type="expression" dxfId="12" priority="13">
      <formula>IF($D13=$O$10,TRUE,FALSE)</formula>
    </cfRule>
  </conditionalFormatting>
  <conditionalFormatting sqref="E5">
    <cfRule type="expression" dxfId="11" priority="12">
      <formula>IF($C$5=$O$5,FALSE,TRUE)</formula>
    </cfRule>
  </conditionalFormatting>
  <conditionalFormatting sqref="B2 E2 B4:C4 E4 B6:C6 E6">
    <cfRule type="expression" dxfId="10" priority="11">
      <formula>IF($C$7="GRUPO III",TRUE,FALSE)</formula>
    </cfRule>
  </conditionalFormatting>
  <conditionalFormatting sqref="B2 E2 B4:C4 E4 B6:C6 E6">
    <cfRule type="expression" dxfId="9" priority="10">
      <formula>IF($C$7="GRUPO IV",TRUE,FALSE)</formula>
    </cfRule>
  </conditionalFormatting>
  <conditionalFormatting sqref="C7:E7">
    <cfRule type="expression" dxfId="8" priority="8">
      <formula>IF($C$7="GRUPO IV",TRUE,FALSE)</formula>
    </cfRule>
    <cfRule type="expression" dxfId="7" priority="9">
      <formula>IF($C$7="GRUPO III",TRUE,FALSE)</formula>
    </cfRule>
  </conditionalFormatting>
  <conditionalFormatting sqref="M7 I2 M2">
    <cfRule type="expression" dxfId="6" priority="6">
      <formula>IF($C$7="GRUPO IV",TRUE,FALSE)</formula>
    </cfRule>
    <cfRule type="expression" dxfId="5" priority="7">
      <formula>IF($C$7="GRUPO III",TRUE,FALSE)</formula>
    </cfRule>
  </conditionalFormatting>
  <conditionalFormatting sqref="M3:M6">
    <cfRule type="expression" dxfId="4" priority="4">
      <formula>IF($C$7="GRUPO IV",TRUE,FALSE)</formula>
    </cfRule>
    <cfRule type="expression" dxfId="3" priority="5">
      <formula>IF($C$7="GRUPO III",TRUE,FALSE)</formula>
    </cfRule>
  </conditionalFormatting>
  <conditionalFormatting sqref="I7">
    <cfRule type="expression" dxfId="2" priority="2">
      <formula>IF($C$7="GRUPO IV",TRUE,FALSE)</formula>
    </cfRule>
    <cfRule type="expression" dxfId="1" priority="3">
      <formula>IF($C$7="GRUPO III",TRUE,FALSE)</formula>
    </cfRule>
  </conditionalFormatting>
  <conditionalFormatting sqref="H14:M25">
    <cfRule type="expression" dxfId="0" priority="1">
      <formula>IF($C$5=$O$5,FALSE,TRUE)</formula>
    </cfRule>
  </conditionalFormatting>
  <dataValidations count="4">
    <dataValidation type="list" showInputMessage="1" showErrorMessage="1" errorTitle="Parentesco no encontrado" error="Por favor, seleccione un parentesco de la lista desplegable" sqref="B7">
      <formula1>$W$3:$W$21</formula1>
    </dataValidation>
    <dataValidation type="list" allowBlank="1" showInputMessage="1" showErrorMessage="1" sqref="E5">
      <formula1>$P$4:$P$5</formula1>
    </dataValidation>
    <dataValidation type="list" allowBlank="1" showInputMessage="1" showErrorMessage="1" sqref="E3">
      <formula1>$Q$4:$Q$7</formula1>
    </dataValidation>
    <dataValidation type="list" allowBlank="1" showInputMessage="1" showErrorMessage="1" sqref="C5">
      <formula1>$O$4:$O$6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Ambito SUCESIONES</vt:lpstr>
      <vt:lpstr>MODELO D650</vt:lpstr>
      <vt:lpstr>MODELO 650</vt:lpstr>
      <vt:lpstr>Localiza OFICINA</vt:lpstr>
      <vt:lpstr>Letra G (nichos)</vt:lpstr>
      <vt:lpstr>RED PARENTESCO (&gt;1987)</vt:lpstr>
      <vt:lpstr>CUOTA TEORICA</vt:lpstr>
      <vt:lpstr>CUOTA LIQUIDA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</dc:creator>
  <cp:lastModifiedBy>Gómez López, Diego</cp:lastModifiedBy>
  <dcterms:created xsi:type="dcterms:W3CDTF">2021-11-28T17:08:57Z</dcterms:created>
  <dcterms:modified xsi:type="dcterms:W3CDTF">2022-10-05T05:39:24Z</dcterms:modified>
</cp:coreProperties>
</file>